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KIM OANH- NS THANH PHO\CÔNG KHAI\NĂM 2024\QUÝ 4-2024\"/>
    </mc:Choice>
  </mc:AlternateContent>
  <bookViews>
    <workbookView xWindow="0" yWindow="0" windowWidth="24000" windowHeight="9636"/>
  </bookViews>
  <sheets>
    <sheet name="MAU 93-ck (2)" sheetId="8" r:id="rId1"/>
    <sheet name="MAU 94-ck (4)" sheetId="10" r:id="rId2"/>
    <sheet name="MAU 95-CK " sheetId="3" r:id="rId3"/>
  </sheets>
  <definedNames>
    <definedName name="_xlnm.Print_Titles" localSheetId="0">'MAU 93-ck (2)'!$9:$10</definedName>
    <definedName name="_xlnm.Print_Titles" localSheetId="1">'MAU 94-ck (4)'!$9:$10</definedName>
    <definedName name="_xlnm.Print_Titles" localSheetId="2">'MAU 95-CK '!$10:$11</definedName>
  </definedNames>
  <calcPr calcId="162913"/>
</workbook>
</file>

<file path=xl/calcChain.xml><?xml version="1.0" encoding="utf-8"?>
<calcChain xmlns="http://schemas.openxmlformats.org/spreadsheetml/2006/main">
  <c r="F14" i="8" l="1"/>
  <c r="H55" i="3"/>
  <c r="H54" i="3"/>
  <c r="H52" i="3"/>
  <c r="H46" i="3"/>
  <c r="H44" i="3"/>
  <c r="H43" i="3"/>
  <c r="H42" i="3"/>
  <c r="H41" i="3"/>
  <c r="H40" i="3"/>
  <c r="H39" i="3"/>
  <c r="H38" i="3"/>
  <c r="H37" i="3"/>
  <c r="H36" i="3"/>
  <c r="H35" i="3"/>
  <c r="H34" i="3"/>
  <c r="H33" i="3"/>
  <c r="H32" i="3"/>
  <c r="H31" i="3"/>
  <c r="H30" i="3"/>
  <c r="H29" i="3"/>
  <c r="H28" i="3"/>
  <c r="H27" i="3"/>
  <c r="H26" i="3"/>
  <c r="H25" i="3"/>
  <c r="H24" i="3"/>
  <c r="H23" i="3"/>
  <c r="H22" i="3"/>
  <c r="H21" i="3"/>
  <c r="H20" i="3"/>
  <c r="H19" i="3"/>
  <c r="H18" i="3"/>
  <c r="H15" i="3"/>
  <c r="H14" i="3"/>
  <c r="H13" i="3"/>
  <c r="H12" i="3"/>
  <c r="H10" i="3"/>
  <c r="H9" i="3"/>
  <c r="L56" i="3"/>
  <c r="L55" i="3"/>
  <c r="L54" i="3"/>
  <c r="L52" i="3"/>
  <c r="L46" i="3"/>
  <c r="L44" i="3"/>
  <c r="L43" i="3"/>
  <c r="L42" i="3"/>
  <c r="L41" i="3"/>
  <c r="L40" i="3"/>
  <c r="L39" i="3"/>
  <c r="L38" i="3"/>
  <c r="L37" i="3"/>
  <c r="L36" i="3"/>
  <c r="L35" i="3"/>
  <c r="L34" i="3"/>
  <c r="L33" i="3"/>
  <c r="L32" i="3"/>
  <c r="L31" i="3"/>
  <c r="L30" i="3"/>
  <c r="L29" i="3"/>
  <c r="L28" i="3"/>
  <c r="L27" i="3"/>
  <c r="L26" i="3"/>
  <c r="L25" i="3"/>
  <c r="L24" i="3"/>
  <c r="L23" i="3"/>
  <c r="L22" i="3"/>
  <c r="L21" i="3"/>
  <c r="L20" i="3"/>
  <c r="L19" i="3"/>
  <c r="L18" i="3"/>
  <c r="L15" i="3"/>
  <c r="L14" i="3"/>
  <c r="L13" i="3"/>
  <c r="L12" i="3"/>
  <c r="L10" i="3"/>
  <c r="L9" i="3"/>
  <c r="J9" i="3" l="1"/>
  <c r="E56" i="3"/>
  <c r="E55" i="3"/>
  <c r="E54" i="3"/>
  <c r="E44" i="3" l="1"/>
  <c r="E43" i="3"/>
  <c r="E42" i="3"/>
  <c r="E41" i="3"/>
  <c r="E40" i="3"/>
  <c r="E39" i="3"/>
  <c r="E38" i="3"/>
  <c r="E37" i="3"/>
  <c r="E36" i="3"/>
  <c r="E35" i="3"/>
  <c r="E33" i="3"/>
  <c r="E31" i="3"/>
  <c r="E30" i="3"/>
  <c r="E29" i="3"/>
  <c r="E28" i="3"/>
  <c r="E27" i="3"/>
  <c r="E26" i="3"/>
  <c r="E25" i="3"/>
  <c r="E24" i="3"/>
  <c r="E23" i="3"/>
  <c r="E22" i="3"/>
  <c r="E21" i="3"/>
  <c r="E20" i="3"/>
  <c r="E15" i="3"/>
  <c r="E14" i="3"/>
  <c r="E13" i="3"/>
  <c r="I42" i="10"/>
  <c r="I40" i="10"/>
  <c r="I39" i="10"/>
  <c r="I38" i="10"/>
  <c r="I33" i="10"/>
  <c r="I32" i="10"/>
  <c r="I28" i="10"/>
  <c r="I26" i="10"/>
  <c r="I25" i="10"/>
  <c r="I24" i="10"/>
  <c r="I22" i="10"/>
  <c r="I17" i="10"/>
  <c r="I23" i="10"/>
  <c r="I20" i="10"/>
  <c r="I18" i="10"/>
  <c r="I15" i="10"/>
  <c r="I14" i="10"/>
  <c r="I13" i="10"/>
  <c r="I12" i="10"/>
  <c r="I11" i="10"/>
  <c r="I10" i="10"/>
  <c r="K40" i="10" l="1"/>
  <c r="K38" i="10" s="1"/>
  <c r="J40" i="10"/>
  <c r="K42" i="10"/>
  <c r="F40" i="10"/>
  <c r="E40" i="10"/>
  <c r="F42" i="10"/>
  <c r="E41" i="10"/>
  <c r="E39" i="10"/>
  <c r="E33" i="10"/>
  <c r="E32" i="10"/>
  <c r="E28" i="10"/>
  <c r="E26" i="10"/>
  <c r="E25" i="10"/>
  <c r="E24" i="10"/>
  <c r="E23" i="10"/>
  <c r="E22" i="10"/>
  <c r="E20" i="10"/>
  <c r="E18" i="10"/>
  <c r="E17" i="10"/>
  <c r="E15" i="10"/>
  <c r="E14" i="10"/>
  <c r="E13" i="10"/>
  <c r="D39" i="8"/>
  <c r="D38" i="8"/>
  <c r="D32" i="8"/>
  <c r="D31" i="8"/>
  <c r="D29" i="8"/>
  <c r="C25" i="8"/>
  <c r="E28" i="8" l="1"/>
  <c r="D27" i="8"/>
  <c r="D26" i="8"/>
  <c r="D25" i="8"/>
  <c r="D18" i="8"/>
  <c r="D14" i="8"/>
  <c r="D15" i="8"/>
  <c r="F13" i="8" l="1"/>
  <c r="G13" i="8" s="1"/>
  <c r="F24" i="8"/>
  <c r="F23" i="8" s="1"/>
  <c r="D24" i="8"/>
  <c r="D23" i="8" s="1"/>
  <c r="G18" i="8"/>
  <c r="G25" i="8"/>
  <c r="G26" i="8"/>
  <c r="G27" i="8"/>
  <c r="G28" i="8"/>
  <c r="G29" i="8"/>
  <c r="G31" i="8"/>
  <c r="G32" i="8"/>
  <c r="G33" i="8"/>
  <c r="G34" i="8"/>
  <c r="G35" i="8"/>
  <c r="F30" i="8"/>
  <c r="G15" i="8" l="1"/>
  <c r="G14" i="8"/>
  <c r="F12" i="8"/>
  <c r="F22" i="8"/>
  <c r="F21" i="8" l="1"/>
  <c r="C30" i="8" l="1"/>
  <c r="G30" i="8" s="1"/>
  <c r="C24" i="8"/>
  <c r="C23" i="8" l="1"/>
  <c r="G24" i="8"/>
  <c r="C9" i="3"/>
  <c r="G23" i="8" l="1"/>
  <c r="C22" i="8"/>
  <c r="K32" i="10" l="1"/>
  <c r="K33" i="10"/>
  <c r="K25" i="10"/>
  <c r="K20" i="10"/>
  <c r="K18" i="10"/>
  <c r="J38" i="10"/>
  <c r="E45" i="10" l="1"/>
  <c r="E38" i="10" l="1"/>
  <c r="K44" i="3"/>
  <c r="K39" i="3"/>
  <c r="F16" i="3" l="1"/>
  <c r="F17" i="3"/>
  <c r="D48" i="3" l="1"/>
  <c r="D34" i="3"/>
  <c r="D32" i="3" s="1"/>
  <c r="D19" i="3"/>
  <c r="E19" i="3"/>
  <c r="I53" i="3"/>
  <c r="D12" i="3"/>
  <c r="D11" i="3" s="1"/>
  <c r="D18" i="3" l="1"/>
  <c r="D10" i="3" s="1"/>
  <c r="D17" i="3" l="1"/>
  <c r="G17" i="3" s="1"/>
  <c r="D9" i="3"/>
  <c r="E53" i="3"/>
  <c r="I52" i="3"/>
  <c r="G44" i="3"/>
  <c r="K43" i="3"/>
  <c r="G43" i="3"/>
  <c r="K42" i="3"/>
  <c r="G42" i="3"/>
  <c r="K41" i="3"/>
  <c r="G41" i="3"/>
  <c r="K38" i="3"/>
  <c r="G38" i="3"/>
  <c r="K37" i="3"/>
  <c r="K36" i="3"/>
  <c r="G36" i="3"/>
  <c r="K35" i="3"/>
  <c r="I34" i="3"/>
  <c r="K31" i="3"/>
  <c r="G31" i="3"/>
  <c r="K30" i="3"/>
  <c r="G30" i="3"/>
  <c r="K29" i="3"/>
  <c r="K28" i="3"/>
  <c r="G28" i="3"/>
  <c r="K27" i="3"/>
  <c r="G27" i="3"/>
  <c r="K26" i="3"/>
  <c r="K25" i="3"/>
  <c r="G25" i="3"/>
  <c r="K24" i="3"/>
  <c r="K23" i="3"/>
  <c r="G23" i="3"/>
  <c r="K22" i="3"/>
  <c r="K21" i="3"/>
  <c r="G21" i="3"/>
  <c r="K20" i="3"/>
  <c r="I19" i="3"/>
  <c r="J17" i="3"/>
  <c r="K15" i="3"/>
  <c r="J15" i="3"/>
  <c r="G15" i="3"/>
  <c r="F15" i="3"/>
  <c r="K14" i="3"/>
  <c r="J14" i="3"/>
  <c r="K13" i="3"/>
  <c r="J13" i="3"/>
  <c r="I12" i="3"/>
  <c r="E52" i="3" l="1"/>
  <c r="K17" i="3"/>
  <c r="K34" i="3"/>
  <c r="K19" i="3"/>
  <c r="K12" i="3"/>
  <c r="I32" i="3"/>
  <c r="I11" i="3"/>
  <c r="K11" i="3" s="1"/>
  <c r="J12" i="3"/>
  <c r="F14" i="3"/>
  <c r="E12" i="3"/>
  <c r="G14" i="3"/>
  <c r="F13" i="3"/>
  <c r="G13" i="3"/>
  <c r="G20" i="3"/>
  <c r="G29" i="3"/>
  <c r="G22" i="3"/>
  <c r="G24" i="3"/>
  <c r="G26" i="3"/>
  <c r="G35" i="3"/>
  <c r="G37" i="3"/>
  <c r="G39" i="3"/>
  <c r="E34" i="3"/>
  <c r="K32" i="3" l="1"/>
  <c r="I18" i="3"/>
  <c r="J11" i="3"/>
  <c r="E32" i="3"/>
  <c r="G34" i="3"/>
  <c r="G19" i="3"/>
  <c r="G12" i="3"/>
  <c r="F12" i="3"/>
  <c r="E11" i="3"/>
  <c r="E18" i="3" l="1"/>
  <c r="I10" i="3"/>
  <c r="K18" i="3"/>
  <c r="G11" i="3"/>
  <c r="F11" i="3"/>
  <c r="G32" i="3"/>
  <c r="G18" i="3" l="1"/>
  <c r="K10" i="3"/>
  <c r="I9" i="3"/>
  <c r="E10" i="3"/>
  <c r="J10" i="3"/>
  <c r="F18" i="3"/>
  <c r="K9" i="3" l="1"/>
  <c r="E9" i="3"/>
  <c r="F10" i="3"/>
  <c r="G10" i="3"/>
  <c r="F9" i="3" l="1"/>
  <c r="G9" i="3"/>
  <c r="L13" i="10"/>
  <c r="L14" i="10"/>
  <c r="L15" i="10"/>
  <c r="L17" i="10"/>
  <c r="L18" i="10"/>
  <c r="L20" i="10"/>
  <c r="L22" i="10"/>
  <c r="L23" i="10"/>
  <c r="L24" i="10"/>
  <c r="L25" i="10"/>
  <c r="L26" i="10"/>
  <c r="L27" i="10"/>
  <c r="L28" i="10"/>
  <c r="L32" i="10"/>
  <c r="L33" i="10"/>
  <c r="L39" i="10"/>
  <c r="L43" i="10"/>
  <c r="G13" i="10"/>
  <c r="G14" i="10"/>
  <c r="G15" i="10"/>
  <c r="G17" i="10"/>
  <c r="G18" i="10"/>
  <c r="G20" i="10"/>
  <c r="G22" i="10"/>
  <c r="G23" i="10"/>
  <c r="G24" i="10"/>
  <c r="G25" i="10"/>
  <c r="G26" i="10"/>
  <c r="G27" i="10"/>
  <c r="G28" i="10"/>
  <c r="G32" i="10"/>
  <c r="G33" i="10"/>
  <c r="G39" i="10"/>
  <c r="F47" i="10"/>
  <c r="F45" i="10"/>
  <c r="F39" i="10"/>
  <c r="F38" i="10" s="1"/>
  <c r="F33" i="10"/>
  <c r="F32" i="10" s="1"/>
  <c r="F28" i="10"/>
  <c r="F26" i="10"/>
  <c r="F25" i="10"/>
  <c r="F23" i="10"/>
  <c r="F22" i="10"/>
  <c r="F20" i="10"/>
  <c r="F18" i="10"/>
  <c r="F17" i="10"/>
  <c r="F14" i="10"/>
  <c r="F15" i="10"/>
  <c r="F13" i="10"/>
  <c r="F24" i="10" l="1"/>
  <c r="K39" i="10"/>
  <c r="K43" i="10"/>
  <c r="K41" i="10"/>
  <c r="K12" i="10" l="1"/>
  <c r="K11" i="10" s="1"/>
  <c r="K10" i="10" s="1"/>
  <c r="K9" i="10" l="1"/>
  <c r="J12" i="10"/>
  <c r="L76" i="10"/>
  <c r="D76" i="10"/>
  <c r="C76" i="10"/>
  <c r="D47" i="10"/>
  <c r="C47" i="10"/>
  <c r="D43" i="10"/>
  <c r="M43" i="10" s="1"/>
  <c r="D41" i="10"/>
  <c r="C40" i="10"/>
  <c r="D39" i="10"/>
  <c r="D33" i="10"/>
  <c r="D28" i="10"/>
  <c r="D27" i="10"/>
  <c r="D26" i="10"/>
  <c r="D25" i="10"/>
  <c r="D23" i="10"/>
  <c r="D22" i="10"/>
  <c r="D20" i="10"/>
  <c r="D18" i="10"/>
  <c r="F12" i="10"/>
  <c r="D17" i="10"/>
  <c r="D15" i="10"/>
  <c r="D14" i="10"/>
  <c r="D13" i="10"/>
  <c r="E12" i="10"/>
  <c r="C12" i="10"/>
  <c r="C11" i="10" s="1"/>
  <c r="C38" i="10" l="1"/>
  <c r="C10" i="10" s="1"/>
  <c r="G40" i="10"/>
  <c r="D40" i="10"/>
  <c r="H40" i="10" s="1"/>
  <c r="M18" i="10"/>
  <c r="H18" i="10"/>
  <c r="D32" i="10"/>
  <c r="H33" i="10"/>
  <c r="M33" i="10"/>
  <c r="M25" i="10"/>
  <c r="H25" i="10"/>
  <c r="H15" i="10"/>
  <c r="M15" i="10"/>
  <c r="H14" i="10"/>
  <c r="M14" i="10"/>
  <c r="M26" i="10"/>
  <c r="H26" i="10"/>
  <c r="H17" i="10"/>
  <c r="M17" i="10"/>
  <c r="M27" i="10"/>
  <c r="H27" i="10"/>
  <c r="M28" i="10"/>
  <c r="H28" i="10"/>
  <c r="G12" i="10"/>
  <c r="M22" i="10"/>
  <c r="H22" i="10"/>
  <c r="M20" i="10"/>
  <c r="H20" i="10"/>
  <c r="H39" i="10"/>
  <c r="M39" i="10"/>
  <c r="M13" i="10"/>
  <c r="H13" i="10"/>
  <c r="M23" i="10"/>
  <c r="H23" i="10"/>
  <c r="J11" i="10"/>
  <c r="L12" i="10"/>
  <c r="D12" i="10"/>
  <c r="M12" i="10" s="1"/>
  <c r="E11" i="10"/>
  <c r="D24" i="10"/>
  <c r="D38" i="10" l="1"/>
  <c r="L11" i="10"/>
  <c r="J10" i="10"/>
  <c r="L38" i="10"/>
  <c r="G38" i="10"/>
  <c r="C9" i="10"/>
  <c r="J9" i="10"/>
  <c r="M24" i="10"/>
  <c r="H24" i="10"/>
  <c r="M32" i="10"/>
  <c r="H32" i="10"/>
  <c r="M38" i="10"/>
  <c r="H38" i="10"/>
  <c r="E10" i="10"/>
  <c r="G11" i="10"/>
  <c r="H12" i="10"/>
  <c r="F11" i="10"/>
  <c r="D11" i="10"/>
  <c r="E9" i="10"/>
  <c r="L9" i="10" l="1"/>
  <c r="G9" i="10"/>
  <c r="F10" i="10"/>
  <c r="L10" i="10"/>
  <c r="M11" i="10"/>
  <c r="D10" i="10"/>
  <c r="M10" i="10" s="1"/>
  <c r="G10" i="10"/>
  <c r="H11" i="10"/>
  <c r="F9" i="10"/>
  <c r="D9" i="10"/>
  <c r="M9" i="10" s="1"/>
  <c r="H9" i="10" l="1"/>
  <c r="H10" i="10"/>
  <c r="C14" i="8"/>
  <c r="E32" i="8"/>
  <c r="E31" i="8"/>
  <c r="E27" i="8"/>
  <c r="E26" i="8"/>
  <c r="E25" i="8"/>
  <c r="E18" i="8"/>
  <c r="E15" i="8"/>
  <c r="E14" i="8" l="1"/>
  <c r="C33" i="8" l="1"/>
  <c r="G22" i="8" s="1"/>
  <c r="D30" i="8" l="1"/>
  <c r="D22" i="8" s="1"/>
  <c r="D21" i="8" s="1"/>
  <c r="D13" i="8"/>
  <c r="D12" i="8" s="1"/>
  <c r="C13" i="8"/>
  <c r="E30" i="8" l="1"/>
  <c r="E13" i="8"/>
  <c r="C12" i="8"/>
  <c r="G12" i="8" s="1"/>
  <c r="E12" i="8" l="1"/>
  <c r="E22" i="8"/>
  <c r="C21" i="8" l="1"/>
  <c r="G21" i="8" s="1"/>
  <c r="E21" i="8" l="1"/>
</calcChain>
</file>

<file path=xl/comments1.xml><?xml version="1.0" encoding="utf-8"?>
<comments xmlns="http://schemas.openxmlformats.org/spreadsheetml/2006/main">
  <authors>
    <author>PhongVuBienHoa</author>
  </authors>
  <commentList>
    <comment ref="D20" authorId="0" shapeId="0">
      <text>
        <r>
          <rPr>
            <b/>
            <sz val="8"/>
            <color indexed="81"/>
            <rFont val="Tahoma"/>
            <family val="2"/>
          </rPr>
          <t>PhongVuBienHoa:</t>
        </r>
        <r>
          <rPr>
            <sz val="8"/>
            <color indexed="81"/>
            <rFont val="Tahoma"/>
            <family val="2"/>
          </rPr>
          <t xml:space="preserve">
của xã tp ko hưởng </t>
        </r>
      </text>
    </comment>
  </commentList>
</comments>
</file>

<file path=xl/sharedStrings.xml><?xml version="1.0" encoding="utf-8"?>
<sst xmlns="http://schemas.openxmlformats.org/spreadsheetml/2006/main" count="228" uniqueCount="175">
  <si>
    <t>STT</t>
  </si>
  <si>
    <t>A</t>
  </si>
  <si>
    <t>B</t>
  </si>
  <si>
    <t>Nội dung</t>
  </si>
  <si>
    <t>3=2/1</t>
  </si>
  <si>
    <t>I</t>
  </si>
  <si>
    <t>Chi đầu tư phát triển</t>
  </si>
  <si>
    <t>Dự phòng ngân sách</t>
  </si>
  <si>
    <t>II</t>
  </si>
  <si>
    <t>III</t>
  </si>
  <si>
    <t>C</t>
  </si>
  <si>
    <t>IV</t>
  </si>
  <si>
    <t>CỘNG HÒA XÃ HỘI CHỦ NGHĨA VIỆT NAM</t>
  </si>
  <si>
    <t>Độc Lập - Tự do- Hạnh Phúc</t>
  </si>
  <si>
    <t>CÂN ĐỐI NGÂN SÁCH THÀNH PHỐ BIÊN HÒA</t>
  </si>
  <si>
    <t>a</t>
  </si>
  <si>
    <t>b</t>
  </si>
  <si>
    <t>Tỉnh thu thành phố hưởng</t>
  </si>
  <si>
    <t>Chi cân đối ngân sách thành phố</t>
  </si>
  <si>
    <t xml:space="preserve">Chi thường xuyên </t>
  </si>
  <si>
    <t>trong đó: cấp thành phố</t>
  </si>
  <si>
    <t>Thu khác ngân sách</t>
  </si>
  <si>
    <t>Thu bổ sung từ ngân sách cấp trên</t>
  </si>
  <si>
    <t>D</t>
  </si>
  <si>
    <t>Chi quốc phòng</t>
  </si>
  <si>
    <t>Chi thường xuyên</t>
  </si>
  <si>
    <t>Khối phường xã</t>
  </si>
  <si>
    <t>Thu kết dư năm trước chuyển sang</t>
  </si>
  <si>
    <t>UBND THÀNH PHỐ BIÊN HÒA</t>
  </si>
  <si>
    <t>PHÒNG TÀI CHÍNH KẾ HOẠCH</t>
  </si>
  <si>
    <t>Chi XDCB nguồn vốn tập trung</t>
  </si>
  <si>
    <t>Chi XDCB nguồn thu tiền sử dụng đất</t>
  </si>
  <si>
    <t>Chi XDCB nguồn xổ sổ kiến thiết</t>
  </si>
  <si>
    <t>Chi tạo nguồn cải cách tiền lương</t>
  </si>
  <si>
    <t xml:space="preserve">Thu cân đối ngân sách thành phố </t>
  </si>
  <si>
    <t>Thu Nội đia</t>
  </si>
  <si>
    <t>Chi đầu tư XDCB</t>
  </si>
  <si>
    <t>Thu quản lý qua ngân sách</t>
  </si>
  <si>
    <t>Chi XDCB khác</t>
  </si>
  <si>
    <t>Thu chuyển nguồn từ năm trước chuyển sang</t>
  </si>
  <si>
    <t>TỔNG CHI NGÂN SÁCH HUYỆN (I+II+III)</t>
  </si>
  <si>
    <t>Tạm chi chưa đưa vào cân đối NS</t>
  </si>
  <si>
    <t>TỔNG NGUỒN THU NSNN TRÊN ĐỊA BÀN ( I+II)</t>
  </si>
  <si>
    <t>-</t>
  </si>
  <si>
    <t>Chi đầu tư phát triển NS thành phố</t>
  </si>
  <si>
    <t>Chi XDCB NS phường xã</t>
  </si>
  <si>
    <t>V</t>
  </si>
  <si>
    <t>Trong đó: nếu loại trừ tiền sử dụng đất</t>
  </si>
  <si>
    <t xml:space="preserve">Chi nộp ngân sách cấp trên </t>
  </si>
  <si>
    <t>Chi chuyển giao ngân sách ( bs ngân sách cấp dưới)</t>
  </si>
  <si>
    <t>Độc Lập - Tự do - Hạnh phúc</t>
  </si>
  <si>
    <t>Thu trên địa bàn</t>
  </si>
  <si>
    <t>Thu điều tiết</t>
  </si>
  <si>
    <t>Thu từ khu vực kinh tế ngoài quốc doanh</t>
  </si>
  <si>
    <t>Trong đó: Thu từ cơ sở kinh doanh nhập khẩu tiếp tục bán ra trong nước</t>
  </si>
  <si>
    <t>- Thuế tài nguyên</t>
  </si>
  <si>
    <t>Thuế sử dụng đất nông nghiệp</t>
  </si>
  <si>
    <t>Thuế CQSDĐ</t>
  </si>
  <si>
    <t>Phí, lệ phí</t>
  </si>
  <si>
    <t>- Phí, lệ phí do cơ quan nhà nước địa phương thu</t>
  </si>
  <si>
    <t>Thu tiền thuê đất, mặt nước</t>
  </si>
  <si>
    <t>Thu từ bán tài sản nhà nước</t>
  </si>
  <si>
    <t xml:space="preserve">                - Do địa phương quản lý</t>
  </si>
  <si>
    <t>Thu tiền cho thuê và bán nhà ở thuộc sở hữu nhà nước</t>
  </si>
  <si>
    <t>Trong cân đối</t>
  </si>
  <si>
    <t>Thu từ quỹ đất công ích và thu hoa lợi công sản khác</t>
  </si>
  <si>
    <t>Thu các quyền khai thác khoáng sản</t>
  </si>
  <si>
    <t>Thu từ hoạt động xổ số kiến thiết (kể cả hoạt động xổ số điện toán)</t>
  </si>
  <si>
    <t>THU TỪ DẦU THÔ</t>
  </si>
  <si>
    <t>Thu bổ sung từ ngân sách tỉnh</t>
  </si>
  <si>
    <t>- Thu bổ sung cân đối</t>
  </si>
  <si>
    <t xml:space="preserve">      + Bổ sung đợt I</t>
  </si>
  <si>
    <t xml:space="preserve">      + Bổ sung đợt II</t>
  </si>
  <si>
    <t>Thu từ nguồn thu tại đơn vị</t>
  </si>
  <si>
    <t>Điều tiết</t>
  </si>
  <si>
    <t>Tổng thu trong cân đối được sử dụng (trừ TSSĐ)</t>
  </si>
  <si>
    <t xml:space="preserve"> - Số thu thành phố hưởng </t>
  </si>
  <si>
    <t>KHOẢN CHI</t>
  </si>
  <si>
    <t xml:space="preserve"> % (Thực hiện/dự toán tỉnh giao)</t>
  </si>
  <si>
    <t>TỔNG CHI NGÂN SÁCH ĐỊA PHƯƠNG ( A+B+C+D)</t>
  </si>
  <si>
    <t xml:space="preserve"> CHI CÂN ĐỐI NS ĐỊA PHƯƠNG ( I+II+III)</t>
  </si>
  <si>
    <t>Chi đầu tư phát triển thành phố</t>
  </si>
  <si>
    <t>Chi đầu tư NS thành phố</t>
  </si>
  <si>
    <t>chi đầu tư XDCB tập trung</t>
  </si>
  <si>
    <t>Chi đầu tư XDCB từ nguồn sử dụng đất</t>
  </si>
  <si>
    <t>Chi đầu tư XDCB từ nguồn xổ số kiến thiết</t>
  </si>
  <si>
    <t xml:space="preserve">Chi thường xuyên theo lĩnh vực </t>
  </si>
  <si>
    <t>II.1</t>
  </si>
  <si>
    <t>Ngân sách thành phố</t>
  </si>
  <si>
    <t>Chi an ninh</t>
  </si>
  <si>
    <t xml:space="preserve">Chi sự nghiệp GDĐT và Dạy nghề </t>
  </si>
  <si>
    <t xml:space="preserve">Chi sự nghiệp y tế </t>
  </si>
  <si>
    <t xml:space="preserve">Chi SN văn hóa thông tin </t>
  </si>
  <si>
    <t xml:space="preserve">Chi SN truyền thanh </t>
  </si>
  <si>
    <t xml:space="preserve">Chi SN thể dục -TT </t>
  </si>
  <si>
    <t xml:space="preserve">Chi SN môi trường  </t>
  </si>
  <si>
    <t xml:space="preserve">Chi SN kinh tế </t>
  </si>
  <si>
    <t xml:space="preserve">Chi bảo đảm XH </t>
  </si>
  <si>
    <t xml:space="preserve">Chi lĩnh vực khác </t>
  </si>
  <si>
    <t>II.2</t>
  </si>
  <si>
    <t xml:space="preserve">Ngân sách phường, xã </t>
  </si>
  <si>
    <t>2.1</t>
  </si>
  <si>
    <t>2.2</t>
  </si>
  <si>
    <t>2.3</t>
  </si>
  <si>
    <t>2.4</t>
  </si>
  <si>
    <t>2.5</t>
  </si>
  <si>
    <t>2.6</t>
  </si>
  <si>
    <t>2.7</t>
  </si>
  <si>
    <t>2.8</t>
  </si>
  <si>
    <t>Chi QL nhà nước, các hội đoàn thể</t>
  </si>
  <si>
    <t>2.9</t>
  </si>
  <si>
    <t>2.10</t>
  </si>
  <si>
    <t xml:space="preserve">CHI CHUYỂN GIAO NGÂN SÁCH </t>
  </si>
  <si>
    <t>bổ sung cân đối</t>
  </si>
  <si>
    <t>bổ sung mục tiêu</t>
  </si>
  <si>
    <t>Dự phòng</t>
  </si>
  <si>
    <t>Ngân sách phường xã</t>
  </si>
  <si>
    <t>E</t>
  </si>
  <si>
    <t>CHI CHUYỂN NGUỒN</t>
  </si>
  <si>
    <t>So sánh ước thực hiện với (%)</t>
  </si>
  <si>
    <t>So sánh</t>
  </si>
  <si>
    <t>% so với cùng kỳ</t>
  </si>
  <si>
    <t xml:space="preserve">TỔNG THU NSNN TRÊN ĐỊA BÀN (I+II+III+IV+V+VI) </t>
  </si>
  <si>
    <t>THU NGÂN SÁCH ĐỊA PHƯƠNG (I+II+III)</t>
  </si>
  <si>
    <t>THU NỘI ĐỊA</t>
  </si>
  <si>
    <t>' Thuế GTGT ( 50%)</t>
  </si>
  <si>
    <t>- Thuế thu nhập doanh nghiệp (50%)</t>
  </si>
  <si>
    <t>- Thuế tiêu thụ đặc biệt ( 50%)</t>
  </si>
  <si>
    <t>Lệ phí trước bạ (100%)</t>
  </si>
  <si>
    <t>Thuế sử dụng đất phi nông nghiệp (100%)</t>
  </si>
  <si>
    <t>Thuế thu nhập cá nhân (50%)</t>
  </si>
  <si>
    <t>Thuế bảo vệ môi trường (50%)</t>
  </si>
  <si>
    <t>Tiền sử dụng đất (60%)</t>
  </si>
  <si>
    <t>- Thu do cơ quan, tổ chức, đơn vị thuộc địa phương quản lý</t>
  </si>
  <si>
    <t>- Thu bổ sung mục tiêu</t>
  </si>
  <si>
    <t>- Thu bổ sung mục tiêu từ nguồn xổ sổ kiến thiết</t>
  </si>
  <si>
    <t>Thu chuyển nguồn</t>
  </si>
  <si>
    <t>Thu nộp ngân sách cấp trên</t>
  </si>
  <si>
    <t>VI</t>
  </si>
  <si>
    <t>Thu kết dư</t>
  </si>
  <si>
    <t>VII</t>
  </si>
  <si>
    <t>Thu từ các đơn vị sự nghiệp tại địa phương (60%)</t>
  </si>
  <si>
    <t>Ghi chú: (1) Bao gồm các khoản thu NSĐP hưởng 100%, các khoản thu phân chia giữa NSTW và NSĐP.</t>
  </si>
  <si>
    <t>Dự toán tỉnh giao</t>
  </si>
  <si>
    <t>Dự toán HĐND giao</t>
  </si>
  <si>
    <t xml:space="preserve"> % (Thực hiện/dự toán hđnd  giao)</t>
  </si>
  <si>
    <t>Chi QL nhà nước</t>
  </si>
  <si>
    <t>CHI ĐẦU TƯ PHÁT TRIỂN (chi chuyển nguồn)</t>
  </si>
  <si>
    <t>so cùng kỳ</t>
  </si>
  <si>
    <t>Dự toán năm 2024</t>
  </si>
  <si>
    <t xml:space="preserve">Thực hiện thu ngân sách </t>
  </si>
  <si>
    <t>% ước thực hiệnthu địa bàn / DT 2024</t>
  </si>
  <si>
    <t>% ước thực hiện thu điều tiết năm / DT 2024</t>
  </si>
  <si>
    <t>6=4/1</t>
  </si>
  <si>
    <t>7=5/2</t>
  </si>
  <si>
    <t>10=8/1</t>
  </si>
  <si>
    <t>11=9/2</t>
  </si>
  <si>
    <t>Chi đầu tư NS phường xã</t>
  </si>
  <si>
    <t>Nhiệm vụ chi khác ( ghi chi tiền sử dụng đất)</t>
  </si>
  <si>
    <t>Nhiệm vụ Chi khác XDCB ( chuyển vốn ủy thác)</t>
  </si>
  <si>
    <t>TẠM CHI CHƯA ĐƯA VÀO CÂN ĐỐI NS</t>
  </si>
  <si>
    <t xml:space="preserve">Chi bổ sung ngân sách </t>
  </si>
  <si>
    <t>5=4/1</t>
  </si>
  <si>
    <t>Chi khác XDCB (chuyển vốn ủy thác)</t>
  </si>
  <si>
    <t>QUÝ IV NĂM 2024</t>
  </si>
  <si>
    <t>Thực hiện  năm 2024</t>
  </si>
  <si>
    <t>Thực hiện năm 2024</t>
  </si>
  <si>
    <t>Thực hiện quý IV/2024</t>
  </si>
  <si>
    <t>THỰC HIỆN THU NGÂN SÁCH THÀNH PHỐ QUÝ IV  NĂM 2024</t>
  </si>
  <si>
    <t>Thu trên địa bàn quý IV năm 2024</t>
  </si>
  <si>
    <t>Thu điều tiết quý IV năm 2024</t>
  </si>
  <si>
    <t>BÁO CÁO TÌNH HÌNH THỰC HIỆN CHI NGÂN SÁCH QUÝ IV NĂM 2024</t>
  </si>
  <si>
    <t>Thực hiện chi quý IV/2024</t>
  </si>
  <si>
    <t>Thu trên địa năm 2024</t>
  </si>
  <si>
    <t>Thu điều tiết năm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</si>
</sst>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_(* #,##0_);_(* \(#,##0\);_(* &quot;-&quot;??_);_(@_)"/>
  </numFmts>
  <fonts count="37">
    <font>
      <sz val="12"/>
      <color theme="1"/>
      <name val="Times New Roman"/>
      <family val="2"/>
    </font>
    <font>
      <b/>
      <sz val="12"/>
      <color theme="1"/>
      <name val="Times New Roman"/>
      <family val="1"/>
    </font>
    <font>
      <b/>
      <sz val="16"/>
      <color theme="1"/>
      <name val="Times New Roman"/>
      <family val="1"/>
    </font>
    <font>
      <sz val="12"/>
      <color theme="1"/>
      <name val="Times New Roman"/>
      <family val="1"/>
    </font>
    <font>
      <b/>
      <sz val="14"/>
      <color theme="1"/>
      <name val="Times New Roman"/>
      <family val="1"/>
    </font>
    <font>
      <sz val="12"/>
      <color theme="1"/>
      <name val="Times New Roman"/>
      <family val="2"/>
    </font>
    <font>
      <sz val="14"/>
      <color theme="1"/>
      <name val="Times New Roman"/>
      <family val="1"/>
    </font>
    <font>
      <sz val="14"/>
      <name val="Times New Roman"/>
      <family val="1"/>
    </font>
    <font>
      <b/>
      <sz val="13"/>
      <name val="Times New Roman"/>
      <family val="1"/>
    </font>
    <font>
      <b/>
      <sz val="14"/>
      <name val="Times New Roman"/>
      <family val="1"/>
    </font>
    <font>
      <b/>
      <u val="singleAccounting"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i/>
      <sz val="14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i/>
      <sz val="12"/>
      <name val="Times New Roman"/>
      <family val="1"/>
    </font>
    <font>
      <sz val="10"/>
      <name val="Arial"/>
      <family val="2"/>
      <charset val="163"/>
    </font>
    <font>
      <b/>
      <sz val="11"/>
      <name val="Times New Roman"/>
      <family val="1"/>
    </font>
    <font>
      <sz val="11"/>
      <name val="Cambria"/>
      <family val="1"/>
      <scheme val="major"/>
    </font>
    <font>
      <sz val="11"/>
      <name val="Times New Roman"/>
      <family val="1"/>
    </font>
    <font>
      <b/>
      <u/>
      <sz val="11"/>
      <name val="Times New Roman"/>
      <family val="1"/>
    </font>
    <font>
      <sz val="11"/>
      <name val="Cambria"/>
      <family val="1"/>
      <charset val="163"/>
      <scheme val="major"/>
    </font>
    <font>
      <sz val="13"/>
      <name val="Times New Roman"/>
      <family val="1"/>
    </font>
    <font>
      <b/>
      <u/>
      <sz val="14"/>
      <name val="Times New Roman"/>
      <family val="1"/>
    </font>
    <font>
      <sz val="12"/>
      <name val="Times New Roman"/>
      <family val="2"/>
    </font>
    <font>
      <sz val="12"/>
      <name val="Cambria"/>
      <family val="1"/>
      <scheme val="major"/>
    </font>
    <font>
      <b/>
      <sz val="11"/>
      <name val="Cambria"/>
      <family val="1"/>
      <charset val="163"/>
      <scheme val="major"/>
    </font>
    <font>
      <b/>
      <sz val="11"/>
      <name val="Cambria"/>
      <family val="1"/>
      <scheme val="major"/>
    </font>
    <font>
      <b/>
      <u val="singleAccounting"/>
      <sz val="12"/>
      <name val="Times New Roman"/>
      <family val="1"/>
    </font>
    <font>
      <u val="singleAccounting"/>
      <sz val="12"/>
      <name val="Times New Roman"/>
      <family val="1"/>
    </font>
    <font>
      <b/>
      <sz val="10"/>
      <name val="Cambria"/>
      <family val="1"/>
      <charset val="163"/>
      <scheme val="major"/>
    </font>
    <font>
      <sz val="11"/>
      <name val="Calibri"/>
      <family val="2"/>
      <scheme val="minor"/>
    </font>
    <font>
      <b/>
      <sz val="11"/>
      <name val="T"/>
    </font>
    <font>
      <sz val="11"/>
      <name val="T"/>
    </font>
    <font>
      <b/>
      <u/>
      <sz val="11"/>
      <name val="Calibri"/>
      <family val="2"/>
      <scheme val="minor"/>
    </font>
    <font>
      <i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</borders>
  <cellStyleXfs count="4">
    <xf numFmtId="0" fontId="0" fillId="0" borderId="0"/>
    <xf numFmtId="16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7" fillId="0" borderId="0"/>
  </cellStyleXfs>
  <cellXfs count="245">
    <xf numFmtId="0" fontId="0" fillId="0" borderId="0" xfId="0"/>
    <xf numFmtId="0" fontId="2" fillId="0" borderId="0" xfId="0" applyFont="1"/>
    <xf numFmtId="0" fontId="6" fillId="0" borderId="0" xfId="0" applyFont="1"/>
    <xf numFmtId="0" fontId="4" fillId="0" borderId="1" xfId="0" applyFont="1" applyBorder="1" applyAlignment="1">
      <alignment horizontal="center"/>
    </xf>
    <xf numFmtId="0" fontId="6" fillId="0" borderId="3" xfId="0" applyFont="1" applyBorder="1"/>
    <xf numFmtId="0" fontId="4" fillId="0" borderId="3" xfId="0" applyFont="1" applyBorder="1"/>
    <xf numFmtId="0" fontId="1" fillId="0" borderId="0" xfId="0" applyFont="1" applyAlignment="1">
      <alignment horizontal="center"/>
    </xf>
    <xf numFmtId="165" fontId="7" fillId="0" borderId="3" xfId="1" applyNumberFormat="1" applyFont="1" applyBorder="1" applyAlignment="1">
      <alignment horizontal="center" vertical="center" wrapText="1"/>
    </xf>
    <xf numFmtId="9" fontId="7" fillId="0" borderId="5" xfId="2" applyFont="1" applyBorder="1" applyAlignment="1">
      <alignment horizontal="center"/>
    </xf>
    <xf numFmtId="165" fontId="7" fillId="0" borderId="5" xfId="1" applyNumberFormat="1" applyFont="1" applyBorder="1"/>
    <xf numFmtId="165" fontId="7" fillId="0" borderId="1" xfId="1" applyNumberFormat="1" applyFont="1" applyBorder="1"/>
    <xf numFmtId="9" fontId="7" fillId="0" borderId="1" xfId="2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165" fontId="6" fillId="0" borderId="0" xfId="0" applyNumberFormat="1" applyFont="1"/>
    <xf numFmtId="0" fontId="11" fillId="0" borderId="0" xfId="0" applyFont="1"/>
    <xf numFmtId="165" fontId="11" fillId="0" borderId="0" xfId="1" applyNumberFormat="1" applyFont="1"/>
    <xf numFmtId="0" fontId="11" fillId="0" borderId="1" xfId="0" applyFont="1" applyBorder="1" applyAlignment="1">
      <alignment horizontal="center" vertical="center" wrapText="1"/>
    </xf>
    <xf numFmtId="165" fontId="11" fillId="0" borderId="1" xfId="1" applyNumberFormat="1" applyFont="1" applyBorder="1" applyAlignment="1">
      <alignment horizontal="center" vertical="center" wrapText="1"/>
    </xf>
    <xf numFmtId="9" fontId="12" fillId="0" borderId="1" xfId="2" applyFont="1" applyBorder="1" applyAlignment="1">
      <alignment horizontal="center" vertical="center" wrapText="1"/>
    </xf>
    <xf numFmtId="0" fontId="12" fillId="0" borderId="1" xfId="0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6" fillId="0" borderId="1" xfId="0" applyFont="1" applyBorder="1" applyAlignment="1">
      <alignment vertical="center" wrapText="1"/>
    </xf>
    <xf numFmtId="0" fontId="11" fillId="0" borderId="1" xfId="0" quotePrefix="1" applyFont="1" applyBorder="1" applyAlignment="1">
      <alignment vertical="center" wrapText="1"/>
    </xf>
    <xf numFmtId="9" fontId="11" fillId="0" borderId="1" xfId="2" applyFont="1" applyBorder="1" applyAlignment="1">
      <alignment horizontal="center" vertical="center" wrapText="1"/>
    </xf>
    <xf numFmtId="0" fontId="12" fillId="0" borderId="1" xfId="0" quotePrefix="1" applyFont="1" applyBorder="1" applyAlignment="1">
      <alignment vertical="center" wrapText="1"/>
    </xf>
    <xf numFmtId="0" fontId="11" fillId="0" borderId="0" xfId="0" applyFont="1" applyAlignment="1">
      <alignment vertical="center"/>
    </xf>
    <xf numFmtId="9" fontId="12" fillId="0" borderId="0" xfId="2" applyFont="1" applyBorder="1" applyAlignment="1">
      <alignment horizontal="center" vertical="center" wrapText="1"/>
    </xf>
    <xf numFmtId="165" fontId="12" fillId="0" borderId="0" xfId="1" applyNumberFormat="1" applyFont="1"/>
    <xf numFmtId="165" fontId="12" fillId="0" borderId="0" xfId="0" applyNumberFormat="1" applyFont="1"/>
    <xf numFmtId="9" fontId="18" fillId="0" borderId="1" xfId="2" applyFont="1" applyFill="1" applyBorder="1" applyAlignment="1">
      <alignment vertical="distributed"/>
    </xf>
    <xf numFmtId="3" fontId="18" fillId="2" borderId="1" xfId="0" applyNumberFormat="1" applyFont="1" applyFill="1" applyBorder="1" applyAlignment="1">
      <alignment vertical="distributed"/>
    </xf>
    <xf numFmtId="3" fontId="18" fillId="0" borderId="3" xfId="0" applyNumberFormat="1" applyFont="1" applyFill="1" applyBorder="1" applyAlignment="1">
      <alignment vertical="distributed"/>
    </xf>
    <xf numFmtId="9" fontId="20" fillId="0" borderId="1" xfId="2" applyFont="1" applyFill="1" applyBorder="1" applyAlignment="1">
      <alignment vertical="distributed"/>
    </xf>
    <xf numFmtId="3" fontId="20" fillId="0" borderId="3" xfId="0" applyNumberFormat="1" applyFont="1" applyFill="1" applyBorder="1" applyAlignment="1">
      <alignment vertical="distributed"/>
    </xf>
    <xf numFmtId="3" fontId="18" fillId="0" borderId="1" xfId="0" applyNumberFormat="1" applyFont="1" applyFill="1" applyBorder="1" applyAlignment="1">
      <alignment vertical="distributed"/>
    </xf>
    <xf numFmtId="3" fontId="20" fillId="2" borderId="1" xfId="0" applyNumberFormat="1" applyFont="1" applyFill="1" applyBorder="1" applyAlignment="1">
      <alignment vertical="distributed"/>
    </xf>
    <xf numFmtId="3" fontId="20" fillId="2" borderId="6" xfId="0" applyNumberFormat="1" applyFont="1" applyFill="1" applyBorder="1" applyAlignment="1">
      <alignment horizontal="right" vertical="distributed"/>
    </xf>
    <xf numFmtId="3" fontId="20" fillId="2" borderId="4" xfId="0" applyNumberFormat="1" applyFont="1" applyFill="1" applyBorder="1" applyAlignment="1">
      <alignment horizontal="right" vertical="distributed"/>
    </xf>
    <xf numFmtId="3" fontId="20" fillId="2" borderId="4" xfId="0" applyNumberFormat="1" applyFont="1" applyFill="1" applyBorder="1" applyAlignment="1">
      <alignment vertical="distributed"/>
    </xf>
    <xf numFmtId="3" fontId="21" fillId="2" borderId="1" xfId="0" applyNumberFormat="1" applyFont="1" applyFill="1" applyBorder="1" applyAlignment="1">
      <alignment vertical="distributed"/>
    </xf>
    <xf numFmtId="3" fontId="18" fillId="0" borderId="1" xfId="0" applyNumberFormat="1" applyFont="1" applyFill="1" applyBorder="1" applyAlignment="1">
      <alignment horizontal="right" vertical="distributed"/>
    </xf>
    <xf numFmtId="0" fontId="22" fillId="0" borderId="4" xfId="0" applyFont="1" applyFill="1" applyBorder="1" applyAlignment="1">
      <alignment vertical="top"/>
    </xf>
    <xf numFmtId="3" fontId="20" fillId="2" borderId="6" xfId="0" applyNumberFormat="1" applyFont="1" applyFill="1" applyBorder="1" applyAlignment="1">
      <alignment vertical="distributed"/>
    </xf>
    <xf numFmtId="3" fontId="20" fillId="0" borderId="13" xfId="0" applyNumberFormat="1" applyFont="1" applyFill="1" applyBorder="1" applyAlignment="1">
      <alignment vertical="distributed"/>
    </xf>
    <xf numFmtId="3" fontId="18" fillId="0" borderId="13" xfId="0" applyNumberFormat="1" applyFont="1" applyFill="1" applyBorder="1" applyAlignment="1">
      <alignment vertical="distributed"/>
    </xf>
    <xf numFmtId="165" fontId="19" fillId="0" borderId="13" xfId="1" applyNumberFormat="1" applyFont="1" applyFill="1" applyBorder="1" applyAlignment="1">
      <alignment vertical="top"/>
    </xf>
    <xf numFmtId="165" fontId="3" fillId="0" borderId="0" xfId="1" applyNumberFormat="1" applyFont="1"/>
    <xf numFmtId="3" fontId="20" fillId="0" borderId="4" xfId="0" applyNumberFormat="1" applyFont="1" applyFill="1" applyBorder="1" applyAlignment="1">
      <alignment vertical="distributed"/>
    </xf>
    <xf numFmtId="0" fontId="3" fillId="0" borderId="0" xfId="0" applyFont="1" applyAlignment="1"/>
    <xf numFmtId="0" fontId="7" fillId="0" borderId="3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0" fontId="9" fillId="0" borderId="1" xfId="0" applyFont="1" applyBorder="1"/>
    <xf numFmtId="0" fontId="9" fillId="0" borderId="5" xfId="0" quotePrefix="1" applyFont="1" applyBorder="1" applyAlignment="1">
      <alignment horizontal="center"/>
    </xf>
    <xf numFmtId="0" fontId="9" fillId="0" borderId="5" xfId="0" applyFont="1" applyBorder="1"/>
    <xf numFmtId="0" fontId="9" fillId="0" borderId="1" xfId="0" quotePrefix="1" applyFont="1" applyBorder="1" applyAlignment="1">
      <alignment horizontal="center"/>
    </xf>
    <xf numFmtId="0" fontId="13" fillId="0" borderId="1" xfId="0" applyFont="1" applyBorder="1"/>
    <xf numFmtId="0" fontId="7" fillId="0" borderId="6" xfId="0" quotePrefix="1" applyFont="1" applyBorder="1" applyAlignment="1">
      <alignment horizontal="center"/>
    </xf>
    <xf numFmtId="0" fontId="7" fillId="0" borderId="6" xfId="0" applyFont="1" applyBorder="1"/>
    <xf numFmtId="0" fontId="7" fillId="0" borderId="4" xfId="0" quotePrefix="1" applyFont="1" applyBorder="1" applyAlignment="1">
      <alignment horizontal="center"/>
    </xf>
    <xf numFmtId="0" fontId="7" fillId="0" borderId="5" xfId="0" applyFont="1" applyBorder="1"/>
    <xf numFmtId="0" fontId="7" fillId="0" borderId="5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7" xfId="0" applyFont="1" applyBorder="1"/>
    <xf numFmtId="0" fontId="7" fillId="0" borderId="4" xfId="0" applyFont="1" applyBorder="1"/>
    <xf numFmtId="0" fontId="7" fillId="0" borderId="5" xfId="0" quotePrefix="1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7" fillId="0" borderId="7" xfId="0" applyFont="1" applyBorder="1"/>
    <xf numFmtId="165" fontId="12" fillId="0" borderId="0" xfId="1" applyNumberFormat="1" applyFont="1" applyAlignment="1">
      <alignment horizontal="center" vertical="center" wrapText="1"/>
    </xf>
    <xf numFmtId="165" fontId="12" fillId="2" borderId="1" xfId="1" applyNumberFormat="1" applyFont="1" applyFill="1" applyBorder="1" applyAlignment="1">
      <alignment horizontal="center" vertical="center" wrapText="1"/>
    </xf>
    <xf numFmtId="9" fontId="10" fillId="0" borderId="1" xfId="2" applyFont="1" applyBorder="1" applyAlignment="1">
      <alignment horizontal="center"/>
    </xf>
    <xf numFmtId="9" fontId="9" fillId="0" borderId="1" xfId="2" applyFont="1" applyBorder="1" applyAlignment="1">
      <alignment horizontal="center"/>
    </xf>
    <xf numFmtId="9" fontId="9" fillId="0" borderId="7" xfId="2" applyFont="1" applyBorder="1" applyAlignment="1">
      <alignment horizontal="center"/>
    </xf>
    <xf numFmtId="9" fontId="7" fillId="0" borderId="6" xfId="2" applyFont="1" applyBorder="1" applyAlignment="1">
      <alignment horizontal="center"/>
    </xf>
    <xf numFmtId="9" fontId="7" fillId="0" borderId="4" xfId="2" applyFont="1" applyBorder="1" applyAlignment="1">
      <alignment horizontal="center"/>
    </xf>
    <xf numFmtId="165" fontId="16" fillId="0" borderId="0" xfId="1" applyNumberFormat="1" applyFont="1" applyBorder="1" applyAlignment="1">
      <alignment horizontal="center" vertical="center"/>
    </xf>
    <xf numFmtId="0" fontId="12" fillId="0" borderId="0" xfId="0" applyFont="1"/>
    <xf numFmtId="165" fontId="12" fillId="0" borderId="0" xfId="1" applyNumberFormat="1" applyFont="1" applyAlignment="1"/>
    <xf numFmtId="9" fontId="18" fillId="0" borderId="7" xfId="2" applyFont="1" applyFill="1" applyBorder="1" applyAlignment="1">
      <alignment vertical="distributed"/>
    </xf>
    <xf numFmtId="9" fontId="18" fillId="0" borderId="6" xfId="2" applyFont="1" applyFill="1" applyBorder="1" applyAlignment="1">
      <alignment vertical="distributed"/>
    </xf>
    <xf numFmtId="9" fontId="18" fillId="0" borderId="4" xfId="2" applyFont="1" applyFill="1" applyBorder="1" applyAlignment="1">
      <alignment vertical="distributed"/>
    </xf>
    <xf numFmtId="165" fontId="25" fillId="0" borderId="0" xfId="1" applyNumberFormat="1" applyFont="1"/>
    <xf numFmtId="165" fontId="10" fillId="0" borderId="1" xfId="1" applyNumberFormat="1" applyFont="1" applyBorder="1" applyAlignment="1">
      <alignment horizontal="center"/>
    </xf>
    <xf numFmtId="165" fontId="9" fillId="0" borderId="5" xfId="1" applyNumberFormat="1" applyFont="1" applyBorder="1"/>
    <xf numFmtId="165" fontId="13" fillId="0" borderId="1" xfId="1" applyNumberFormat="1" applyFont="1" applyBorder="1"/>
    <xf numFmtId="165" fontId="7" fillId="0" borderId="6" xfId="1" applyNumberFormat="1" applyFont="1" applyBorder="1"/>
    <xf numFmtId="165" fontId="7" fillId="0" borderId="4" xfId="1" applyNumberFormat="1" applyFont="1" applyBorder="1"/>
    <xf numFmtId="165" fontId="10" fillId="0" borderId="1" xfId="1" applyNumberFormat="1" applyFont="1" applyBorder="1"/>
    <xf numFmtId="165" fontId="9" fillId="0" borderId="7" xfId="1" applyNumberFormat="1" applyFont="1" applyBorder="1"/>
    <xf numFmtId="165" fontId="9" fillId="0" borderId="1" xfId="1" applyNumberFormat="1" applyFont="1" applyBorder="1"/>
    <xf numFmtId="165" fontId="7" fillId="0" borderId="3" xfId="1" applyNumberFormat="1" applyFont="1" applyBorder="1"/>
    <xf numFmtId="0" fontId="9" fillId="0" borderId="3" xfId="0" applyFont="1" applyBorder="1"/>
    <xf numFmtId="165" fontId="27" fillId="0" borderId="1" xfId="1" applyNumberFormat="1" applyFont="1" applyFill="1" applyBorder="1" applyAlignment="1">
      <alignment vertical="top"/>
    </xf>
    <xf numFmtId="3" fontId="18" fillId="0" borderId="7" xfId="0" applyNumberFormat="1" applyFont="1" applyFill="1" applyBorder="1" applyAlignment="1">
      <alignment vertical="distributed"/>
    </xf>
    <xf numFmtId="165" fontId="27" fillId="0" borderId="3" xfId="1" applyNumberFormat="1" applyFont="1" applyFill="1" applyBorder="1" applyAlignment="1">
      <alignment vertical="top"/>
    </xf>
    <xf numFmtId="9" fontId="24" fillId="0" borderId="1" xfId="2" applyNumberFormat="1" applyFont="1" applyBorder="1" applyAlignment="1">
      <alignment horizontal="center"/>
    </xf>
    <xf numFmtId="9" fontId="12" fillId="2" borderId="1" xfId="2" applyFont="1" applyFill="1" applyBorder="1" applyAlignment="1">
      <alignment horizontal="center" vertical="center" wrapText="1"/>
    </xf>
    <xf numFmtId="9" fontId="12" fillId="0" borderId="1" xfId="2" applyFont="1" applyFill="1" applyBorder="1" applyAlignment="1">
      <alignment vertical="distributed"/>
    </xf>
    <xf numFmtId="3" fontId="18" fillId="2" borderId="7" xfId="0" applyNumberFormat="1" applyFont="1" applyFill="1" applyBorder="1" applyAlignment="1">
      <alignment vertical="distributed"/>
    </xf>
    <xf numFmtId="0" fontId="27" fillId="0" borderId="1" xfId="0" applyFont="1" applyFill="1" applyBorder="1" applyAlignment="1">
      <alignment vertical="top"/>
    </xf>
    <xf numFmtId="0" fontId="19" fillId="0" borderId="6" xfId="0" applyFont="1" applyFill="1" applyBorder="1" applyAlignment="1">
      <alignment vertical="top"/>
    </xf>
    <xf numFmtId="165" fontId="19" fillId="0" borderId="6" xfId="1" applyNumberFormat="1" applyFont="1" applyFill="1" applyBorder="1" applyAlignment="1">
      <alignment vertical="top"/>
    </xf>
    <xf numFmtId="9" fontId="18" fillId="0" borderId="3" xfId="2" applyFont="1" applyFill="1" applyBorder="1" applyAlignment="1">
      <alignment vertical="distributed"/>
    </xf>
    <xf numFmtId="0" fontId="19" fillId="0" borderId="4" xfId="0" applyFont="1" applyFill="1" applyBorder="1" applyAlignment="1">
      <alignment vertical="top"/>
    </xf>
    <xf numFmtId="165" fontId="19" fillId="0" borderId="4" xfId="1" applyNumberFormat="1" applyFont="1" applyFill="1" applyBorder="1" applyAlignment="1">
      <alignment vertical="top"/>
    </xf>
    <xf numFmtId="0" fontId="26" fillId="0" borderId="4" xfId="0" applyFont="1" applyFill="1" applyBorder="1" applyAlignment="1">
      <alignment vertical="top"/>
    </xf>
    <xf numFmtId="0" fontId="27" fillId="0" borderId="5" xfId="0" applyFont="1" applyFill="1" applyBorder="1" applyAlignment="1">
      <alignment vertical="top"/>
    </xf>
    <xf numFmtId="165" fontId="28" fillId="0" borderId="5" xfId="1" applyNumberFormat="1" applyFont="1" applyFill="1" applyBorder="1" applyAlignment="1">
      <alignment vertical="top"/>
    </xf>
    <xf numFmtId="3" fontId="20" fillId="0" borderId="5" xfId="0" applyNumberFormat="1" applyFont="1" applyFill="1" applyBorder="1" applyAlignment="1">
      <alignment vertical="distributed"/>
    </xf>
    <xf numFmtId="3" fontId="18" fillId="2" borderId="5" xfId="0" applyNumberFormat="1" applyFont="1" applyFill="1" applyBorder="1" applyAlignment="1">
      <alignment horizontal="right" vertical="distributed"/>
    </xf>
    <xf numFmtId="165" fontId="22" fillId="0" borderId="4" xfId="1" applyNumberFormat="1" applyFont="1" applyFill="1" applyBorder="1" applyAlignment="1">
      <alignment vertical="top"/>
    </xf>
    <xf numFmtId="0" fontId="22" fillId="0" borderId="5" xfId="0" applyFont="1" applyFill="1" applyBorder="1" applyAlignment="1">
      <alignment vertical="top"/>
    </xf>
    <xf numFmtId="165" fontId="22" fillId="0" borderId="5" xfId="1" applyNumberFormat="1" applyFont="1" applyFill="1" applyBorder="1" applyAlignment="1">
      <alignment vertical="top"/>
    </xf>
    <xf numFmtId="3" fontId="20" fillId="2" borderId="5" xfId="0" applyNumberFormat="1" applyFont="1" applyFill="1" applyBorder="1" applyAlignment="1">
      <alignment vertical="distributed"/>
    </xf>
    <xf numFmtId="0" fontId="28" fillId="0" borderId="1" xfId="0" applyFont="1" applyFill="1" applyBorder="1" applyAlignment="1">
      <alignment vertical="top"/>
    </xf>
    <xf numFmtId="165" fontId="28" fillId="0" borderId="1" xfId="1" applyNumberFormat="1" applyFont="1" applyFill="1" applyBorder="1" applyAlignment="1">
      <alignment vertical="top"/>
    </xf>
    <xf numFmtId="0" fontId="19" fillId="0" borderId="1" xfId="0" applyFont="1" applyFill="1" applyBorder="1" applyAlignment="1">
      <alignment vertical="top"/>
    </xf>
    <xf numFmtId="165" fontId="28" fillId="0" borderId="6" xfId="1" applyNumberFormat="1" applyFont="1" applyFill="1" applyBorder="1" applyAlignment="1">
      <alignment vertical="top"/>
    </xf>
    <xf numFmtId="165" fontId="28" fillId="0" borderId="4" xfId="1" applyNumberFormat="1" applyFont="1" applyFill="1" applyBorder="1" applyAlignment="1">
      <alignment vertical="top"/>
    </xf>
    <xf numFmtId="0" fontId="28" fillId="0" borderId="1" xfId="3" applyFont="1" applyFill="1" applyBorder="1" applyAlignment="1">
      <alignment horizontal="left" vertical="top" wrapText="1"/>
    </xf>
    <xf numFmtId="3" fontId="20" fillId="0" borderId="1" xfId="0" applyNumberFormat="1" applyFont="1" applyFill="1" applyBorder="1" applyAlignment="1">
      <alignment vertical="distributed"/>
    </xf>
    <xf numFmtId="0" fontId="18" fillId="2" borderId="1" xfId="0" applyFont="1" applyFill="1" applyBorder="1" applyAlignment="1">
      <alignment wrapText="1"/>
    </xf>
    <xf numFmtId="165" fontId="18" fillId="2" borderId="1" xfId="1" applyNumberFormat="1" applyFont="1" applyFill="1" applyBorder="1"/>
    <xf numFmtId="3" fontId="18" fillId="2" borderId="6" xfId="0" applyNumberFormat="1" applyFont="1" applyFill="1" applyBorder="1" applyAlignment="1">
      <alignment vertical="distributed"/>
    </xf>
    <xf numFmtId="3" fontId="20" fillId="0" borderId="8" xfId="0" applyNumberFormat="1" applyFont="1" applyFill="1" applyBorder="1" applyAlignment="1">
      <alignment vertical="distributed"/>
    </xf>
    <xf numFmtId="165" fontId="19" fillId="0" borderId="5" xfId="1" applyNumberFormat="1" applyFont="1" applyFill="1" applyBorder="1" applyAlignment="1">
      <alignment vertical="top"/>
    </xf>
    <xf numFmtId="3" fontId="18" fillId="2" borderId="5" xfId="0" applyNumberFormat="1" applyFont="1" applyFill="1" applyBorder="1" applyAlignment="1">
      <alignment vertical="distributed"/>
    </xf>
    <xf numFmtId="9" fontId="18" fillId="0" borderId="5" xfId="2" applyFont="1" applyFill="1" applyBorder="1" applyAlignment="1">
      <alignment vertical="distributed"/>
    </xf>
    <xf numFmtId="0" fontId="28" fillId="0" borderId="6" xfId="0" applyFont="1" applyFill="1" applyBorder="1" applyAlignment="1">
      <alignment vertical="top"/>
    </xf>
    <xf numFmtId="3" fontId="18" fillId="0" borderId="6" xfId="0" applyNumberFormat="1" applyFont="1" applyFill="1" applyBorder="1" applyAlignment="1">
      <alignment vertical="distributed"/>
    </xf>
    <xf numFmtId="9" fontId="18" fillId="0" borderId="1" xfId="2" applyFont="1" applyFill="1" applyBorder="1" applyAlignment="1">
      <alignment horizontal="right" vertical="distributed"/>
    </xf>
    <xf numFmtId="165" fontId="19" fillId="0" borderId="3" xfId="1" applyNumberFormat="1" applyFont="1" applyFill="1" applyBorder="1" applyAlignment="1">
      <alignment vertical="top" wrapText="1"/>
    </xf>
    <xf numFmtId="3" fontId="20" fillId="2" borderId="9" xfId="0" applyNumberFormat="1" applyFont="1" applyFill="1" applyBorder="1" applyAlignment="1">
      <alignment vertical="distributed" wrapText="1"/>
    </xf>
    <xf numFmtId="3" fontId="20" fillId="2" borderId="4" xfId="0" applyNumberFormat="1" applyFont="1" applyFill="1" applyBorder="1" applyAlignment="1">
      <alignment vertical="distributed" wrapText="1"/>
    </xf>
    <xf numFmtId="3" fontId="20" fillId="2" borderId="11" xfId="0" applyNumberFormat="1" applyFont="1" applyFill="1" applyBorder="1" applyAlignment="1">
      <alignment vertical="distributed" wrapText="1"/>
    </xf>
    <xf numFmtId="3" fontId="18" fillId="2" borderId="9" xfId="0" applyNumberFormat="1" applyFont="1" applyFill="1" applyBorder="1" applyAlignment="1">
      <alignment vertical="distributed"/>
    </xf>
    <xf numFmtId="9" fontId="18" fillId="0" borderId="9" xfId="2" applyFont="1" applyFill="1" applyBorder="1" applyAlignment="1">
      <alignment vertical="distributed"/>
    </xf>
    <xf numFmtId="9" fontId="18" fillId="0" borderId="13" xfId="2" applyFont="1" applyFill="1" applyBorder="1" applyAlignment="1">
      <alignment vertical="distributed"/>
    </xf>
    <xf numFmtId="165" fontId="27" fillId="0" borderId="7" xfId="1" applyNumberFormat="1" applyFont="1" applyFill="1" applyBorder="1" applyAlignment="1">
      <alignment vertical="top"/>
    </xf>
    <xf numFmtId="9" fontId="18" fillId="0" borderId="10" xfId="2" applyFont="1" applyFill="1" applyBorder="1" applyAlignment="1">
      <alignment vertical="distributed"/>
    </xf>
    <xf numFmtId="3" fontId="20" fillId="0" borderId="7" xfId="0" applyNumberFormat="1" applyFont="1" applyFill="1" applyBorder="1" applyAlignment="1">
      <alignment vertical="distributed"/>
    </xf>
    <xf numFmtId="165" fontId="28" fillId="0" borderId="8" xfId="1" applyNumberFormat="1" applyFont="1" applyFill="1" applyBorder="1" applyAlignment="1">
      <alignment vertical="top"/>
    </xf>
    <xf numFmtId="165" fontId="28" fillId="0" borderId="12" xfId="1" applyNumberFormat="1" applyFont="1" applyFill="1" applyBorder="1" applyAlignment="1">
      <alignment vertical="top"/>
    </xf>
    <xf numFmtId="9" fontId="6" fillId="0" borderId="1" xfId="2" applyFont="1" applyBorder="1"/>
    <xf numFmtId="9" fontId="6" fillId="0" borderId="3" xfId="2" applyFont="1" applyBorder="1"/>
    <xf numFmtId="9" fontId="11" fillId="0" borderId="1" xfId="2" applyFont="1" applyFill="1" applyBorder="1" applyAlignment="1">
      <alignment vertical="distributed"/>
    </xf>
    <xf numFmtId="9" fontId="11" fillId="0" borderId="3" xfId="2" applyFont="1" applyFill="1" applyBorder="1" applyAlignment="1">
      <alignment vertical="distributed"/>
    </xf>
    <xf numFmtId="9" fontId="11" fillId="0" borderId="7" xfId="2" applyFont="1" applyFill="1" applyBorder="1" applyAlignment="1">
      <alignment vertical="distributed"/>
    </xf>
    <xf numFmtId="9" fontId="20" fillId="0" borderId="6" xfId="2" applyFont="1" applyFill="1" applyBorder="1" applyAlignment="1">
      <alignment vertical="distributed"/>
    </xf>
    <xf numFmtId="9" fontId="20" fillId="0" borderId="5" xfId="2" applyFont="1" applyFill="1" applyBorder="1" applyAlignment="1">
      <alignment vertical="distributed"/>
    </xf>
    <xf numFmtId="165" fontId="11" fillId="2" borderId="0" xfId="1" applyNumberFormat="1" applyFont="1" applyFill="1"/>
    <xf numFmtId="165" fontId="11" fillId="0" borderId="0" xfId="0" applyNumberFormat="1" applyFont="1"/>
    <xf numFmtId="0" fontId="12" fillId="2" borderId="1" xfId="0" applyFont="1" applyFill="1" applyBorder="1" applyAlignment="1">
      <alignment horizontal="center" vertical="center" wrapText="1"/>
    </xf>
    <xf numFmtId="165" fontId="12" fillId="2" borderId="0" xfId="1" applyNumberFormat="1" applyFont="1" applyFill="1"/>
    <xf numFmtId="165" fontId="11" fillId="0" borderId="3" xfId="1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/>
    </xf>
    <xf numFmtId="165" fontId="29" fillId="0" borderId="1" xfId="1" applyNumberFormat="1" applyFont="1" applyBorder="1" applyAlignment="1">
      <alignment horizontal="center"/>
    </xf>
    <xf numFmtId="9" fontId="29" fillId="0" borderId="1" xfId="2" applyFont="1" applyBorder="1" applyAlignment="1">
      <alignment horizontal="center"/>
    </xf>
    <xf numFmtId="165" fontId="12" fillId="0" borderId="5" xfId="1" applyNumberFormat="1" applyFont="1" applyBorder="1"/>
    <xf numFmtId="165" fontId="11" fillId="0" borderId="1" xfId="1" applyNumberFormat="1" applyFont="1" applyBorder="1"/>
    <xf numFmtId="165" fontId="11" fillId="0" borderId="4" xfId="1" applyNumberFormat="1" applyFont="1" applyBorder="1"/>
    <xf numFmtId="165" fontId="11" fillId="0" borderId="5" xfId="1" applyNumberFormat="1" applyFont="1" applyBorder="1"/>
    <xf numFmtId="165" fontId="12" fillId="0" borderId="1" xfId="1" applyNumberFormat="1" applyFont="1" applyBorder="1"/>
    <xf numFmtId="165" fontId="11" fillId="0" borderId="6" xfId="1" applyNumberFormat="1" applyFont="1" applyBorder="1"/>
    <xf numFmtId="9" fontId="30" fillId="0" borderId="1" xfId="2" applyFont="1" applyBorder="1" applyAlignment="1">
      <alignment horizontal="center"/>
    </xf>
    <xf numFmtId="9" fontId="30" fillId="0" borderId="1" xfId="2" applyNumberFormat="1" applyFont="1" applyBorder="1" applyAlignment="1">
      <alignment horizontal="center"/>
    </xf>
    <xf numFmtId="0" fontId="12" fillId="0" borderId="1" xfId="0" applyFont="1" applyBorder="1" applyAlignment="1">
      <alignment horizontal="center" vertical="center" wrapText="1"/>
    </xf>
    <xf numFmtId="165" fontId="12" fillId="0" borderId="1" xfId="1" applyNumberFormat="1" applyFont="1" applyBorder="1" applyAlignment="1">
      <alignment horizontal="center" vertical="center" wrapText="1"/>
    </xf>
    <xf numFmtId="165" fontId="31" fillId="0" borderId="1" xfId="1" applyNumberFormat="1" applyFont="1" applyFill="1" applyBorder="1" applyAlignment="1">
      <alignment vertical="top"/>
    </xf>
    <xf numFmtId="9" fontId="25" fillId="0" borderId="0" xfId="2" applyFont="1"/>
    <xf numFmtId="0" fontId="25" fillId="0" borderId="0" xfId="0" applyFont="1"/>
    <xf numFmtId="0" fontId="25" fillId="0" borderId="0" xfId="0" applyFont="1" applyBorder="1"/>
    <xf numFmtId="165" fontId="25" fillId="0" borderId="0" xfId="1" applyNumberFormat="1" applyFont="1" applyBorder="1"/>
    <xf numFmtId="3" fontId="32" fillId="2" borderId="0" xfId="0" applyNumberFormat="1" applyFont="1" applyFill="1"/>
    <xf numFmtId="3" fontId="32" fillId="2" borderId="18" xfId="0" applyNumberFormat="1" applyFont="1" applyFill="1" applyBorder="1"/>
    <xf numFmtId="3" fontId="25" fillId="0" borderId="0" xfId="0" applyNumberFormat="1" applyFont="1"/>
    <xf numFmtId="0" fontId="25" fillId="0" borderId="18" xfId="0" applyFont="1" applyBorder="1"/>
    <xf numFmtId="0" fontId="25" fillId="0" borderId="19" xfId="0" applyFont="1" applyBorder="1"/>
    <xf numFmtId="165" fontId="33" fillId="0" borderId="0" xfId="1" applyNumberFormat="1" applyFont="1" applyAlignment="1">
      <alignment horizontal="center"/>
    </xf>
    <xf numFmtId="165" fontId="34" fillId="0" borderId="0" xfId="1" applyNumberFormat="1" applyFont="1" applyAlignment="1">
      <alignment horizontal="center"/>
    </xf>
    <xf numFmtId="0" fontId="25" fillId="0" borderId="17" xfId="0" applyFont="1" applyBorder="1"/>
    <xf numFmtId="0" fontId="27" fillId="0" borderId="7" xfId="0" applyFont="1" applyFill="1" applyBorder="1" applyAlignment="1">
      <alignment vertical="top"/>
    </xf>
    <xf numFmtId="0" fontId="28" fillId="0" borderId="7" xfId="3" applyFont="1" applyFill="1" applyBorder="1" applyAlignment="1">
      <alignment horizontal="left" vertical="top" wrapText="1"/>
    </xf>
    <xf numFmtId="0" fontId="27" fillId="2" borderId="1" xfId="0" applyFont="1" applyFill="1" applyBorder="1" applyAlignment="1">
      <alignment vertical="top"/>
    </xf>
    <xf numFmtId="0" fontId="28" fillId="2" borderId="1" xfId="3" applyFont="1" applyFill="1" applyBorder="1" applyAlignment="1">
      <alignment horizontal="left" vertical="top" wrapText="1"/>
    </xf>
    <xf numFmtId="0" fontId="25" fillId="2" borderId="0" xfId="0" applyFont="1" applyFill="1"/>
    <xf numFmtId="0" fontId="27" fillId="0" borderId="1" xfId="0" applyFont="1" applyFill="1" applyBorder="1" applyAlignment="1">
      <alignment horizontal="center" vertical="top"/>
    </xf>
    <xf numFmtId="0" fontId="27" fillId="0" borderId="6" xfId="0" applyFont="1" applyFill="1" applyBorder="1" applyAlignment="1">
      <alignment horizontal="center" vertical="top"/>
    </xf>
    <xf numFmtId="0" fontId="27" fillId="0" borderId="4" xfId="0" applyFont="1" applyFill="1" applyBorder="1" applyAlignment="1">
      <alignment horizontal="center" vertical="top"/>
    </xf>
    <xf numFmtId="165" fontId="25" fillId="0" borderId="0" xfId="0" applyNumberFormat="1" applyFont="1"/>
    <xf numFmtId="0" fontId="27" fillId="0" borderId="5" xfId="0" applyFont="1" applyFill="1" applyBorder="1" applyAlignment="1">
      <alignment horizontal="center" vertical="top"/>
    </xf>
    <xf numFmtId="0" fontId="19" fillId="0" borderId="6" xfId="0" applyFont="1" applyFill="1" applyBorder="1" applyAlignment="1">
      <alignment horizontal="left" vertical="top"/>
    </xf>
    <xf numFmtId="0" fontId="19" fillId="0" borderId="4" xfId="0" applyFont="1" applyFill="1" applyBorder="1" applyAlignment="1">
      <alignment horizontal="left" vertical="top"/>
    </xf>
    <xf numFmtId="0" fontId="19" fillId="0" borderId="5" xfId="0" applyFont="1" applyFill="1" applyBorder="1" applyAlignment="1">
      <alignment horizontal="left" vertical="top"/>
    </xf>
    <xf numFmtId="0" fontId="19" fillId="0" borderId="1" xfId="0" applyFont="1" applyFill="1" applyBorder="1" applyAlignment="1">
      <alignment horizontal="center" vertical="top"/>
    </xf>
    <xf numFmtId="0" fontId="28" fillId="0" borderId="1" xfId="0" applyFont="1" applyFill="1" applyBorder="1" applyAlignment="1">
      <alignment horizontal="center" vertical="top"/>
    </xf>
    <xf numFmtId="0" fontId="28" fillId="2" borderId="1" xfId="0" applyFont="1" applyFill="1" applyBorder="1" applyAlignment="1">
      <alignment vertical="top"/>
    </xf>
    <xf numFmtId="0" fontId="28" fillId="2" borderId="6" xfId="0" applyFont="1" applyFill="1" applyBorder="1" applyAlignment="1">
      <alignment vertical="top"/>
    </xf>
    <xf numFmtId="0" fontId="28" fillId="2" borderId="5" xfId="0" applyFont="1" applyFill="1" applyBorder="1" applyAlignment="1">
      <alignment vertical="top"/>
    </xf>
    <xf numFmtId="0" fontId="27" fillId="0" borderId="6" xfId="0" applyFont="1" applyFill="1" applyBorder="1" applyAlignment="1">
      <alignment vertical="top"/>
    </xf>
    <xf numFmtId="3" fontId="18" fillId="0" borderId="12" xfId="0" applyNumberFormat="1" applyFont="1" applyFill="1" applyBorder="1" applyAlignment="1">
      <alignment vertical="distributed"/>
    </xf>
    <xf numFmtId="0" fontId="20" fillId="0" borderId="0" xfId="0" applyFont="1" applyFill="1" applyBorder="1" applyAlignment="1">
      <alignment horizontal="center" vertical="distributed"/>
    </xf>
    <xf numFmtId="0" fontId="35" fillId="0" borderId="0" xfId="0" applyFont="1"/>
    <xf numFmtId="0" fontId="36" fillId="0" borderId="0" xfId="0" quotePrefix="1" applyFont="1"/>
    <xf numFmtId="0" fontId="25" fillId="0" borderId="20" xfId="0" applyFont="1" applyBorder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8" fillId="0" borderId="2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 wrapText="1"/>
    </xf>
    <xf numFmtId="165" fontId="8" fillId="0" borderId="2" xfId="1" applyNumberFormat="1" applyFont="1" applyBorder="1" applyAlignment="1">
      <alignment horizontal="center" vertical="center" wrapText="1"/>
    </xf>
    <xf numFmtId="165" fontId="23" fillId="0" borderId="3" xfId="1" applyNumberFormat="1" applyFont="1" applyBorder="1" applyAlignment="1">
      <alignment horizontal="center" vertical="center" wrapText="1"/>
    </xf>
    <xf numFmtId="165" fontId="8" fillId="0" borderId="3" xfId="1" applyNumberFormat="1" applyFont="1" applyBorder="1" applyAlignment="1">
      <alignment horizontal="center" vertical="center" wrapText="1"/>
    </xf>
    <xf numFmtId="165" fontId="12" fillId="0" borderId="2" xfId="1" applyNumberFormat="1" applyFont="1" applyBorder="1" applyAlignment="1">
      <alignment horizontal="center" vertical="center" wrapText="1"/>
    </xf>
    <xf numFmtId="165" fontId="12" fillId="0" borderId="3" xfId="1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165" fontId="12" fillId="0" borderId="0" xfId="1" applyNumberFormat="1" applyFont="1" applyAlignment="1">
      <alignment horizontal="center"/>
    </xf>
    <xf numFmtId="0" fontId="11" fillId="0" borderId="0" xfId="0" applyFont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165" fontId="12" fillId="0" borderId="1" xfId="1" applyNumberFormat="1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165" fontId="12" fillId="2" borderId="14" xfId="1" applyNumberFormat="1" applyFont="1" applyFill="1" applyBorder="1" applyAlignment="1">
      <alignment horizontal="center" vertical="center" wrapText="1"/>
    </xf>
    <xf numFmtId="165" fontId="12" fillId="2" borderId="16" xfId="1" applyNumberFormat="1" applyFont="1" applyFill="1" applyBorder="1" applyAlignment="1">
      <alignment horizontal="center" vertical="center" wrapText="1"/>
    </xf>
    <xf numFmtId="165" fontId="12" fillId="2" borderId="15" xfId="1" applyNumberFormat="1" applyFont="1" applyFill="1" applyBorder="1" applyAlignment="1">
      <alignment horizontal="center" vertical="center" wrapText="1"/>
    </xf>
    <xf numFmtId="9" fontId="18" fillId="2" borderId="2" xfId="2" applyFont="1" applyFill="1" applyBorder="1" applyAlignment="1">
      <alignment horizontal="center" vertical="center" wrapText="1"/>
    </xf>
    <xf numFmtId="9" fontId="18" fillId="2" borderId="3" xfId="2" applyFont="1" applyFill="1" applyBorder="1" applyAlignment="1">
      <alignment horizontal="center" vertical="center" wrapText="1"/>
    </xf>
    <xf numFmtId="0" fontId="27" fillId="0" borderId="2" xfId="0" applyFont="1" applyFill="1" applyBorder="1" applyAlignment="1">
      <alignment horizontal="center" vertical="top"/>
    </xf>
    <xf numFmtId="0" fontId="27" fillId="0" borderId="3" xfId="0" applyFont="1" applyFill="1" applyBorder="1" applyAlignment="1">
      <alignment horizontal="center" vertical="top"/>
    </xf>
    <xf numFmtId="0" fontId="18" fillId="0" borderId="2" xfId="3" applyFont="1" applyFill="1" applyBorder="1" applyAlignment="1">
      <alignment horizontal="center" vertical="center"/>
    </xf>
    <xf numFmtId="0" fontId="18" fillId="0" borderId="3" xfId="3" applyFont="1" applyFill="1" applyBorder="1" applyAlignment="1">
      <alignment horizontal="center" vertical="center"/>
    </xf>
    <xf numFmtId="165" fontId="18" fillId="0" borderId="2" xfId="1" applyNumberFormat="1" applyFont="1" applyFill="1" applyBorder="1" applyAlignment="1">
      <alignment horizontal="center" vertical="center"/>
    </xf>
    <xf numFmtId="165" fontId="18" fillId="0" borderId="3" xfId="1" applyNumberFormat="1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18" fillId="0" borderId="13" xfId="0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/>
    </xf>
    <xf numFmtId="0" fontId="18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165" fontId="11" fillId="0" borderId="0" xfId="1" applyNumberFormat="1" applyFont="1" applyAlignment="1">
      <alignment horizontal="center"/>
    </xf>
  </cellXfs>
  <cellStyles count="4">
    <cellStyle name="Comma" xfId="1" builtinId="3"/>
    <cellStyle name="Normal" xfId="0" builtinId="0"/>
    <cellStyle name="Normal 5" xfId="3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40"/>
  <sheetViews>
    <sheetView tabSelected="1" topLeftCell="A4" workbookViewId="0">
      <selection activeCell="F16" sqref="F16"/>
    </sheetView>
  </sheetViews>
  <sheetFormatPr defaultRowHeight="15.6"/>
  <cols>
    <col min="1" max="1" width="7.19921875" customWidth="1"/>
    <col min="2" max="2" width="54.69921875" customWidth="1"/>
    <col min="3" max="3" width="22.5" style="81" customWidth="1"/>
    <col min="4" max="4" width="21" style="81" customWidth="1"/>
    <col min="5" max="5" width="9.5" style="46" customWidth="1"/>
    <col min="6" max="6" width="21.19921875" customWidth="1"/>
    <col min="7" max="7" width="7.3984375" customWidth="1"/>
    <col min="8" max="8" width="20" customWidth="1"/>
  </cols>
  <sheetData>
    <row r="1" spans="1:10" ht="16.5" customHeight="1">
      <c r="A1" s="205" t="s">
        <v>28</v>
      </c>
      <c r="B1" s="205"/>
      <c r="C1" s="206" t="s">
        <v>12</v>
      </c>
      <c r="D1" s="206"/>
      <c r="E1" s="206"/>
    </row>
    <row r="2" spans="1:10">
      <c r="A2" s="207" t="s">
        <v>29</v>
      </c>
      <c r="B2" s="207"/>
      <c r="C2" s="206" t="s">
        <v>13</v>
      </c>
      <c r="D2" s="206"/>
      <c r="E2" s="206"/>
    </row>
    <row r="3" spans="1:10" ht="19.5" customHeight="1">
      <c r="A3" s="6"/>
      <c r="B3" s="6"/>
    </row>
    <row r="4" spans="1:10" ht="20.25" customHeight="1"/>
    <row r="5" spans="1:10" ht="21.75" customHeight="1">
      <c r="A5" s="215" t="s">
        <v>14</v>
      </c>
      <c r="B5" s="215"/>
      <c r="C5" s="215"/>
      <c r="D5" s="215"/>
      <c r="E5" s="215"/>
      <c r="F5" s="215"/>
      <c r="G5" s="1"/>
      <c r="H5" s="1"/>
      <c r="I5" s="1"/>
      <c r="J5" s="1"/>
    </row>
    <row r="6" spans="1:10" ht="21" customHeight="1">
      <c r="A6" s="215" t="s">
        <v>164</v>
      </c>
      <c r="B6" s="215"/>
      <c r="C6" s="215"/>
      <c r="D6" s="215"/>
      <c r="E6" s="215"/>
      <c r="F6" s="215"/>
    </row>
    <row r="7" spans="1:10" ht="15" customHeight="1">
      <c r="F7" s="48"/>
    </row>
    <row r="9" spans="1:10" s="2" customFormat="1" ht="32.25" customHeight="1">
      <c r="A9" s="208" t="s">
        <v>0</v>
      </c>
      <c r="B9" s="208" t="s">
        <v>3</v>
      </c>
      <c r="C9" s="210" t="s">
        <v>149</v>
      </c>
      <c r="D9" s="210" t="s">
        <v>167</v>
      </c>
      <c r="E9" s="213" t="s">
        <v>119</v>
      </c>
      <c r="F9" s="213" t="s">
        <v>166</v>
      </c>
      <c r="G9" s="213" t="s">
        <v>119</v>
      </c>
    </row>
    <row r="10" spans="1:10" s="2" customFormat="1" ht="60" customHeight="1">
      <c r="A10" s="209"/>
      <c r="B10" s="209"/>
      <c r="C10" s="211"/>
      <c r="D10" s="212"/>
      <c r="E10" s="214"/>
      <c r="F10" s="214"/>
      <c r="G10" s="214"/>
    </row>
    <row r="11" spans="1:10" s="2" customFormat="1" ht="23.25" customHeight="1">
      <c r="A11" s="49" t="s">
        <v>1</v>
      </c>
      <c r="B11" s="49" t="s">
        <v>2</v>
      </c>
      <c r="C11" s="7">
        <v>1</v>
      </c>
      <c r="D11" s="7">
        <v>2</v>
      </c>
      <c r="E11" s="12" t="s">
        <v>4</v>
      </c>
      <c r="F11" s="154">
        <v>4</v>
      </c>
      <c r="G11" s="155" t="s">
        <v>162</v>
      </c>
    </row>
    <row r="12" spans="1:10" s="2" customFormat="1" ht="21">
      <c r="A12" s="50" t="s">
        <v>1</v>
      </c>
      <c r="B12" s="51" t="s">
        <v>42</v>
      </c>
      <c r="C12" s="82">
        <f>C13+C18+C19</f>
        <v>3326699000000</v>
      </c>
      <c r="D12" s="82">
        <f>D13+D18+D19+D20</f>
        <v>2491900233514</v>
      </c>
      <c r="E12" s="70">
        <f>D12/C12*100%</f>
        <v>0.7490609260152481</v>
      </c>
      <c r="F12" s="156">
        <f>F13+F18+F19</f>
        <v>3700698542204</v>
      </c>
      <c r="G12" s="157">
        <f>F12/C12</f>
        <v>1.1124236193908736</v>
      </c>
    </row>
    <row r="13" spans="1:10" s="2" customFormat="1" ht="19.2">
      <c r="A13" s="52" t="s">
        <v>5</v>
      </c>
      <c r="B13" s="53" t="s">
        <v>34</v>
      </c>
      <c r="C13" s="83">
        <f>SUM(C15:C16)</f>
        <v>1864000000000</v>
      </c>
      <c r="D13" s="83">
        <f>SUM(D15:D16)</f>
        <v>2153872233514</v>
      </c>
      <c r="E13" s="8">
        <f t="shared" ref="E13:E32" si="0">D13/C13*100%</f>
        <v>1.155510854889485</v>
      </c>
      <c r="F13" s="158">
        <f>SUM(F15:F16)</f>
        <v>2237999542204</v>
      </c>
      <c r="G13" s="164">
        <f t="shared" ref="G13:G35" si="1">F13/C13</f>
        <v>1.2006435312253219</v>
      </c>
    </row>
    <row r="14" spans="1:10" s="2" customFormat="1" ht="19.2">
      <c r="A14" s="54"/>
      <c r="B14" s="55" t="s">
        <v>47</v>
      </c>
      <c r="C14" s="84">
        <f>C15-270000000000</f>
        <v>1594000000000</v>
      </c>
      <c r="D14" s="84">
        <f>D15-237661431584</f>
        <v>1916210801930</v>
      </c>
      <c r="E14" s="8">
        <f t="shared" si="0"/>
        <v>1.2021397753638645</v>
      </c>
      <c r="F14" s="159">
        <f>F15-281282260274</f>
        <v>1956717281930</v>
      </c>
      <c r="G14" s="164">
        <f t="shared" si="1"/>
        <v>1.2275516197804266</v>
      </c>
    </row>
    <row r="15" spans="1:10" s="2" customFormat="1" ht="19.2">
      <c r="A15" s="56">
        <v>1</v>
      </c>
      <c r="B15" s="57" t="s">
        <v>35</v>
      </c>
      <c r="C15" s="85">
        <v>1864000000000</v>
      </c>
      <c r="D15" s="84">
        <f>3797314185401-1643441951887</f>
        <v>2153872233514</v>
      </c>
      <c r="E15" s="8">
        <f t="shared" si="0"/>
        <v>1.155510854889485</v>
      </c>
      <c r="F15" s="159">
        <v>2237999542204</v>
      </c>
      <c r="G15" s="164">
        <f t="shared" si="1"/>
        <v>1.2006435312253219</v>
      </c>
    </row>
    <row r="16" spans="1:10" s="2" customFormat="1" ht="19.2">
      <c r="A16" s="58">
        <v>2</v>
      </c>
      <c r="B16" s="59" t="s">
        <v>17</v>
      </c>
      <c r="C16" s="9">
        <v>0</v>
      </c>
      <c r="D16" s="86"/>
      <c r="E16" s="8"/>
      <c r="F16" s="160"/>
      <c r="G16" s="164"/>
    </row>
    <row r="17" spans="1:8" s="2" customFormat="1" ht="19.2">
      <c r="A17" s="60">
        <v>3</v>
      </c>
      <c r="B17" s="59" t="s">
        <v>27</v>
      </c>
      <c r="C17" s="9">
        <v>0</v>
      </c>
      <c r="D17" s="9"/>
      <c r="E17" s="8"/>
      <c r="F17" s="161"/>
      <c r="G17" s="164"/>
    </row>
    <row r="18" spans="1:8" s="2" customFormat="1" ht="19.2">
      <c r="A18" s="60">
        <v>4</v>
      </c>
      <c r="B18" s="59" t="s">
        <v>22</v>
      </c>
      <c r="C18" s="9">
        <v>1304686000000</v>
      </c>
      <c r="D18" s="9">
        <f>1304686000000-966658000000</f>
        <v>338028000000</v>
      </c>
      <c r="E18" s="8">
        <f t="shared" si="0"/>
        <v>0.2590876272145175</v>
      </c>
      <c r="F18" s="161">
        <v>1304686000000</v>
      </c>
      <c r="G18" s="164">
        <f t="shared" si="1"/>
        <v>1</v>
      </c>
    </row>
    <row r="19" spans="1:8" s="2" customFormat="1" ht="19.2">
      <c r="A19" s="60">
        <v>5</v>
      </c>
      <c r="B19" s="59" t="s">
        <v>37</v>
      </c>
      <c r="C19" s="9">
        <v>158013000000</v>
      </c>
      <c r="D19" s="9">
        <v>0</v>
      </c>
      <c r="E19" s="8"/>
      <c r="F19" s="161">
        <v>158013000000</v>
      </c>
      <c r="G19" s="164"/>
    </row>
    <row r="20" spans="1:8" s="2" customFormat="1" ht="19.2">
      <c r="A20" s="61" t="s">
        <v>8</v>
      </c>
      <c r="B20" s="53" t="s">
        <v>39</v>
      </c>
      <c r="C20" s="9"/>
      <c r="D20" s="9">
        <v>0</v>
      </c>
      <c r="E20" s="8"/>
      <c r="F20" s="161"/>
      <c r="G20" s="164"/>
    </row>
    <row r="21" spans="1:8" s="2" customFormat="1" ht="21">
      <c r="A21" s="50" t="s">
        <v>2</v>
      </c>
      <c r="B21" s="51" t="s">
        <v>40</v>
      </c>
      <c r="C21" s="87">
        <f>C22+C38</f>
        <v>3553277000000</v>
      </c>
      <c r="D21" s="87">
        <f>D22+D38+D39</f>
        <v>1226688721337</v>
      </c>
      <c r="E21" s="95">
        <f t="shared" si="0"/>
        <v>0.34522743972310632</v>
      </c>
      <c r="F21" s="87">
        <f>F22+F38+F39</f>
        <v>3154175218913</v>
      </c>
      <c r="G21" s="165">
        <f t="shared" si="1"/>
        <v>0.88768064491256948</v>
      </c>
      <c r="H21" s="13"/>
    </row>
    <row r="22" spans="1:8" s="2" customFormat="1" ht="19.2">
      <c r="A22" s="62" t="s">
        <v>5</v>
      </c>
      <c r="B22" s="63" t="s">
        <v>18</v>
      </c>
      <c r="C22" s="88">
        <f>C23+C30+C33</f>
        <v>3553277000000</v>
      </c>
      <c r="D22" s="88">
        <f>D23+D30+D33+D36+D37</f>
        <v>1163711557523</v>
      </c>
      <c r="E22" s="72">
        <f t="shared" si="0"/>
        <v>0.32750375428738038</v>
      </c>
      <c r="F22" s="88">
        <f>F23+F30+F33+F36+F37</f>
        <v>3002903626896</v>
      </c>
      <c r="G22" s="164">
        <f t="shared" si="1"/>
        <v>0.8451082273900965</v>
      </c>
    </row>
    <row r="23" spans="1:8" s="2" customFormat="1" ht="19.2">
      <c r="A23" s="50">
        <v>1</v>
      </c>
      <c r="B23" s="51" t="s">
        <v>6</v>
      </c>
      <c r="C23" s="89">
        <f>C24+C29</f>
        <v>722763000000</v>
      </c>
      <c r="D23" s="89">
        <f>D24+D29</f>
        <v>361647296372</v>
      </c>
      <c r="E23" s="11">
        <v>0.02</v>
      </c>
      <c r="F23" s="89">
        <f>F24+F29</f>
        <v>701770978508</v>
      </c>
      <c r="G23" s="164">
        <f t="shared" si="1"/>
        <v>0.97095587143780193</v>
      </c>
    </row>
    <row r="24" spans="1:8" s="2" customFormat="1" ht="21" customHeight="1">
      <c r="A24" s="50" t="s">
        <v>15</v>
      </c>
      <c r="B24" s="51" t="s">
        <v>44</v>
      </c>
      <c r="C24" s="89">
        <f>SUM(C25:C28)</f>
        <v>713375000000</v>
      </c>
      <c r="D24" s="89">
        <f>SUM(D25:D28)</f>
        <v>358022855000</v>
      </c>
      <c r="E24" s="11">
        <v>0.02</v>
      </c>
      <c r="F24" s="89">
        <f>SUM(F25:F28)</f>
        <v>690407626790</v>
      </c>
      <c r="G24" s="164">
        <f t="shared" si="1"/>
        <v>0.96780462840721926</v>
      </c>
    </row>
    <row r="25" spans="1:8" s="2" customFormat="1" ht="19.2">
      <c r="A25" s="56" t="s">
        <v>43</v>
      </c>
      <c r="B25" s="57" t="s">
        <v>30</v>
      </c>
      <c r="C25" s="85">
        <f>239257000000-C29</f>
        <v>229869000000</v>
      </c>
      <c r="D25" s="85">
        <f>209593000000-73203000000</f>
        <v>136390000000</v>
      </c>
      <c r="E25" s="73">
        <f t="shared" si="0"/>
        <v>0.59333794465543421</v>
      </c>
      <c r="F25" s="163">
        <v>209593000000</v>
      </c>
      <c r="G25" s="164">
        <f t="shared" si="1"/>
        <v>0.91179323875772722</v>
      </c>
    </row>
    <row r="26" spans="1:8" s="2" customFormat="1" ht="19.2">
      <c r="A26" s="58" t="s">
        <v>43</v>
      </c>
      <c r="B26" s="64" t="s">
        <v>31</v>
      </c>
      <c r="C26" s="85">
        <v>260612000000</v>
      </c>
      <c r="D26" s="85">
        <f>258086000000-67170000000</f>
        <v>190916000000</v>
      </c>
      <c r="E26" s="74">
        <f t="shared" si="0"/>
        <v>0.73256795542799258</v>
      </c>
      <c r="F26" s="163">
        <v>258086000000</v>
      </c>
      <c r="G26" s="164">
        <f t="shared" si="1"/>
        <v>0.99030743020275347</v>
      </c>
    </row>
    <row r="27" spans="1:8" s="2" customFormat="1" ht="19.2">
      <c r="A27" s="58" t="s">
        <v>43</v>
      </c>
      <c r="B27" s="64" t="s">
        <v>32</v>
      </c>
      <c r="C27" s="85">
        <v>91610000000</v>
      </c>
      <c r="D27" s="85">
        <f>87969000000-57385000000</f>
        <v>30584000000</v>
      </c>
      <c r="E27" s="74">
        <f t="shared" si="0"/>
        <v>0.33385001637375833</v>
      </c>
      <c r="F27" s="163">
        <v>87969000000</v>
      </c>
      <c r="G27" s="164">
        <f t="shared" si="1"/>
        <v>0.96025543062984386</v>
      </c>
    </row>
    <row r="28" spans="1:8" s="2" customFormat="1" ht="19.2">
      <c r="A28" s="65" t="s">
        <v>43</v>
      </c>
      <c r="B28" s="59" t="s">
        <v>38</v>
      </c>
      <c r="C28" s="9">
        <v>131284000000</v>
      </c>
      <c r="D28" s="9">
        <v>132855000</v>
      </c>
      <c r="E28" s="74">
        <f t="shared" si="0"/>
        <v>1.0119664239358946E-3</v>
      </c>
      <c r="F28" s="161">
        <v>134759626790</v>
      </c>
      <c r="G28" s="164">
        <f t="shared" si="1"/>
        <v>1.0264741079644131</v>
      </c>
    </row>
    <row r="29" spans="1:8" s="2" customFormat="1" ht="21" customHeight="1">
      <c r="A29" s="50" t="s">
        <v>16</v>
      </c>
      <c r="B29" s="51" t="s">
        <v>45</v>
      </c>
      <c r="C29" s="89">
        <v>9388000000</v>
      </c>
      <c r="D29" s="89">
        <f>11363351718-7738910346</f>
        <v>3624441372</v>
      </c>
      <c r="E29" s="11"/>
      <c r="F29" s="162">
        <v>11363351718</v>
      </c>
      <c r="G29" s="164">
        <f t="shared" si="1"/>
        <v>1.2104124113762249</v>
      </c>
    </row>
    <row r="30" spans="1:8" s="2" customFormat="1" ht="19.2">
      <c r="A30" s="50">
        <v>2</v>
      </c>
      <c r="B30" s="51" t="s">
        <v>19</v>
      </c>
      <c r="C30" s="89">
        <f>C31+C32</f>
        <v>2767214000000</v>
      </c>
      <c r="D30" s="89">
        <f>D31+D32</f>
        <v>802064261151</v>
      </c>
      <c r="E30" s="71">
        <f t="shared" si="0"/>
        <v>0.28984540449383389</v>
      </c>
      <c r="F30" s="162">
        <f>F31+F32</f>
        <v>2301132648388</v>
      </c>
      <c r="G30" s="164">
        <f t="shared" si="1"/>
        <v>0.83157018155733531</v>
      </c>
      <c r="H30" s="13"/>
    </row>
    <row r="31" spans="1:8" s="2" customFormat="1" ht="19.2">
      <c r="A31" s="66"/>
      <c r="B31" s="57" t="s">
        <v>20</v>
      </c>
      <c r="C31" s="85">
        <v>2399384000000</v>
      </c>
      <c r="D31" s="85">
        <f>2005463352248-1290586342447</f>
        <v>714877009801</v>
      </c>
      <c r="E31" s="73">
        <f t="shared" si="0"/>
        <v>0.29794189250282571</v>
      </c>
      <c r="F31" s="163">
        <v>2005463352248</v>
      </c>
      <c r="G31" s="164">
        <f t="shared" si="1"/>
        <v>0.83582425832963791</v>
      </c>
    </row>
    <row r="32" spans="1:8" s="2" customFormat="1" ht="19.2">
      <c r="A32" s="61"/>
      <c r="B32" s="59" t="s">
        <v>26</v>
      </c>
      <c r="C32" s="9">
        <v>367830000000</v>
      </c>
      <c r="D32" s="85">
        <f>295669296140-208482044790</f>
        <v>87187251350</v>
      </c>
      <c r="E32" s="8">
        <f t="shared" si="0"/>
        <v>0.23703137685887501</v>
      </c>
      <c r="F32" s="163">
        <v>295669296140</v>
      </c>
      <c r="G32" s="164">
        <f t="shared" si="1"/>
        <v>0.80382050441780173</v>
      </c>
    </row>
    <row r="33" spans="1:7" s="2" customFormat="1" ht="19.2">
      <c r="A33" s="50">
        <v>3</v>
      </c>
      <c r="B33" s="51" t="s">
        <v>7</v>
      </c>
      <c r="C33" s="89">
        <f>C34+C35</f>
        <v>63300000000</v>
      </c>
      <c r="D33" s="10">
        <v>0</v>
      </c>
      <c r="E33" s="10"/>
      <c r="F33" s="159">
        <v>0</v>
      </c>
      <c r="G33" s="164">
        <f t="shared" si="1"/>
        <v>0</v>
      </c>
    </row>
    <row r="34" spans="1:7" s="2" customFormat="1" ht="19.2">
      <c r="A34" s="66"/>
      <c r="B34" s="67" t="s">
        <v>20</v>
      </c>
      <c r="C34" s="85">
        <v>57105000000</v>
      </c>
      <c r="D34" s="85"/>
      <c r="E34" s="8"/>
      <c r="F34" s="163"/>
      <c r="G34" s="164">
        <f t="shared" si="1"/>
        <v>0</v>
      </c>
    </row>
    <row r="35" spans="1:7" s="2" customFormat="1" ht="19.2">
      <c r="A35" s="61"/>
      <c r="B35" s="59" t="s">
        <v>26</v>
      </c>
      <c r="C35" s="9">
        <v>6195000000</v>
      </c>
      <c r="D35" s="9"/>
      <c r="E35" s="8"/>
      <c r="F35" s="161"/>
      <c r="G35" s="164">
        <f t="shared" si="1"/>
        <v>0</v>
      </c>
    </row>
    <row r="36" spans="1:7" s="2" customFormat="1" ht="19.2">
      <c r="A36" s="50">
        <v>4</v>
      </c>
      <c r="B36" s="51" t="s">
        <v>33</v>
      </c>
      <c r="C36" s="89">
        <v>0</v>
      </c>
      <c r="D36" s="10"/>
      <c r="E36" s="11"/>
      <c r="F36" s="159"/>
      <c r="G36" s="164"/>
    </row>
    <row r="37" spans="1:7" s="2" customFormat="1" ht="19.2">
      <c r="A37" s="50">
        <v>5</v>
      </c>
      <c r="B37" s="51" t="s">
        <v>163</v>
      </c>
      <c r="C37" s="89"/>
      <c r="D37" s="10"/>
      <c r="E37" s="8"/>
      <c r="F37" s="159"/>
      <c r="G37" s="164"/>
    </row>
    <row r="38" spans="1:7" s="2" customFormat="1" ht="19.2">
      <c r="A38" s="3" t="s">
        <v>8</v>
      </c>
      <c r="B38" s="51" t="s">
        <v>49</v>
      </c>
      <c r="C38" s="89"/>
      <c r="D38" s="10">
        <f>142269578406-80045772000</f>
        <v>62223806406</v>
      </c>
      <c r="E38" s="143"/>
      <c r="F38" s="159">
        <v>142269578406</v>
      </c>
      <c r="G38" s="164"/>
    </row>
    <row r="39" spans="1:7" s="2" customFormat="1" ht="19.2">
      <c r="A39" s="3" t="s">
        <v>9</v>
      </c>
      <c r="B39" s="91" t="s">
        <v>48</v>
      </c>
      <c r="C39" s="90"/>
      <c r="D39" s="10">
        <f>9002013611-8248656203</f>
        <v>753357408</v>
      </c>
      <c r="E39" s="144"/>
      <c r="F39" s="159">
        <v>9002013611</v>
      </c>
      <c r="G39" s="164"/>
    </row>
    <row r="40" spans="1:7" ht="18.75" hidden="1" customHeight="1">
      <c r="A40" s="3" t="s">
        <v>11</v>
      </c>
      <c r="B40" s="5" t="s">
        <v>41</v>
      </c>
      <c r="C40" s="90"/>
      <c r="D40" s="10">
        <v>0</v>
      </c>
      <c r="E40" s="4"/>
    </row>
  </sheetData>
  <mergeCells count="13">
    <mergeCell ref="F9:F10"/>
    <mergeCell ref="G9:G10"/>
    <mergeCell ref="A5:F5"/>
    <mergeCell ref="A6:F6"/>
    <mergeCell ref="E9:E10"/>
    <mergeCell ref="A1:B1"/>
    <mergeCell ref="C1:E1"/>
    <mergeCell ref="A2:B2"/>
    <mergeCell ref="C2:E2"/>
    <mergeCell ref="A9:A10"/>
    <mergeCell ref="B9:B10"/>
    <mergeCell ref="C9:C10"/>
    <mergeCell ref="D9:D10"/>
  </mergeCells>
  <pageMargins left="0.7" right="0.7" top="0.75" bottom="0.75" header="0.3" footer="0.3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P97"/>
  <sheetViews>
    <sheetView topLeftCell="C7" workbookViewId="0">
      <selection activeCell="I7" sqref="I7"/>
    </sheetView>
  </sheetViews>
  <sheetFormatPr defaultColWidth="9" defaultRowHeight="15.6"/>
  <cols>
    <col min="1" max="1" width="5.8984375" style="14" customWidth="1"/>
    <col min="2" max="2" width="41.09765625" style="14" customWidth="1"/>
    <col min="3" max="3" width="17" style="15" customWidth="1"/>
    <col min="4" max="4" width="18.8984375" style="15" customWidth="1"/>
    <col min="5" max="5" width="18.3984375" style="15" customWidth="1"/>
    <col min="6" max="6" width="16.59765625" style="15" customWidth="1"/>
    <col min="7" max="7" width="9.19921875" style="15" customWidth="1"/>
    <col min="8" max="9" width="6.8984375" style="15" customWidth="1"/>
    <col min="10" max="10" width="18.8984375" style="15" customWidth="1"/>
    <col min="11" max="11" width="17.59765625" style="15" customWidth="1"/>
    <col min="12" max="12" width="8.09765625" style="14" customWidth="1"/>
    <col min="13" max="13" width="7.5" style="14" customWidth="1"/>
    <col min="14" max="14" width="7" style="14" customWidth="1"/>
    <col min="15" max="15" width="18.69921875" style="14" customWidth="1"/>
    <col min="16" max="16" width="12.09765625" style="14" bestFit="1" customWidth="1"/>
    <col min="17" max="16384" width="9" style="14"/>
  </cols>
  <sheetData>
    <row r="1" spans="1:16">
      <c r="A1" s="216" t="s">
        <v>28</v>
      </c>
      <c r="B1" s="216"/>
      <c r="C1" s="218" t="s">
        <v>12</v>
      </c>
      <c r="D1" s="218"/>
      <c r="E1" s="218"/>
      <c r="F1" s="218"/>
      <c r="G1" s="218"/>
      <c r="H1" s="218"/>
      <c r="I1" s="218"/>
      <c r="J1" s="218"/>
      <c r="K1" s="218"/>
      <c r="L1" s="218"/>
    </row>
    <row r="2" spans="1:16">
      <c r="A2" s="217" t="s">
        <v>29</v>
      </c>
      <c r="B2" s="217"/>
      <c r="C2" s="218" t="s">
        <v>50</v>
      </c>
      <c r="D2" s="218"/>
      <c r="E2" s="218"/>
      <c r="F2" s="218"/>
      <c r="G2" s="218"/>
      <c r="H2" s="218"/>
      <c r="I2" s="218"/>
      <c r="J2" s="218"/>
      <c r="K2" s="218"/>
      <c r="L2" s="218"/>
    </row>
    <row r="3" spans="1:16">
      <c r="A3" s="217"/>
      <c r="B3" s="217"/>
    </row>
    <row r="4" spans="1:16" ht="27" customHeight="1">
      <c r="A4" s="77"/>
      <c r="B4" s="218" t="s">
        <v>168</v>
      </c>
      <c r="C4" s="218"/>
      <c r="D4" s="218"/>
      <c r="E4" s="218"/>
      <c r="F4" s="218"/>
      <c r="G4" s="218"/>
      <c r="H4" s="218"/>
      <c r="I4" s="218"/>
      <c r="J4" s="218"/>
      <c r="K4" s="218"/>
      <c r="L4" s="218"/>
      <c r="M4" s="218"/>
      <c r="N4" s="218"/>
    </row>
    <row r="5" spans="1:16">
      <c r="L5" s="75"/>
    </row>
    <row r="6" spans="1:16" ht="48" customHeight="1">
      <c r="A6" s="220" t="s">
        <v>0</v>
      </c>
      <c r="B6" s="220" t="s">
        <v>3</v>
      </c>
      <c r="C6" s="221" t="s">
        <v>149</v>
      </c>
      <c r="D6" s="221"/>
      <c r="E6" s="225" t="s">
        <v>150</v>
      </c>
      <c r="F6" s="226"/>
      <c r="G6" s="226"/>
      <c r="H6" s="226"/>
      <c r="I6" s="226"/>
      <c r="J6" s="226"/>
      <c r="K6" s="227"/>
      <c r="L6" s="222" t="s">
        <v>120</v>
      </c>
      <c r="M6" s="223"/>
      <c r="N6" s="224"/>
    </row>
    <row r="7" spans="1:16" ht="120" customHeight="1">
      <c r="A7" s="220"/>
      <c r="B7" s="220"/>
      <c r="C7" s="167" t="s">
        <v>51</v>
      </c>
      <c r="D7" s="167" t="s">
        <v>52</v>
      </c>
      <c r="E7" s="167" t="s">
        <v>169</v>
      </c>
      <c r="F7" s="167" t="s">
        <v>170</v>
      </c>
      <c r="G7" s="166" t="s">
        <v>151</v>
      </c>
      <c r="H7" s="166" t="s">
        <v>152</v>
      </c>
      <c r="I7" s="152" t="s">
        <v>121</v>
      </c>
      <c r="J7" s="69" t="s">
        <v>173</v>
      </c>
      <c r="K7" s="69" t="s">
        <v>174</v>
      </c>
      <c r="L7" s="166" t="s">
        <v>151</v>
      </c>
      <c r="M7" s="166" t="s">
        <v>152</v>
      </c>
      <c r="N7" s="152" t="s">
        <v>121</v>
      </c>
    </row>
    <row r="8" spans="1:16">
      <c r="A8" s="16"/>
      <c r="B8" s="16"/>
      <c r="C8" s="17">
        <v>1</v>
      </c>
      <c r="D8" s="17">
        <v>2</v>
      </c>
      <c r="E8" s="17">
        <v>4</v>
      </c>
      <c r="F8" s="17">
        <v>5</v>
      </c>
      <c r="G8" s="17" t="s">
        <v>153</v>
      </c>
      <c r="H8" s="17" t="s">
        <v>154</v>
      </c>
      <c r="I8" s="17"/>
      <c r="J8" s="17">
        <v>8</v>
      </c>
      <c r="K8" s="17">
        <v>9</v>
      </c>
      <c r="L8" s="16" t="s">
        <v>155</v>
      </c>
      <c r="M8" s="16" t="s">
        <v>156</v>
      </c>
      <c r="N8" s="16">
        <v>10</v>
      </c>
      <c r="O8" s="15"/>
      <c r="P8" s="151"/>
    </row>
    <row r="9" spans="1:16" ht="48" hidden="1" customHeight="1">
      <c r="A9" s="166"/>
      <c r="B9" s="166" t="s">
        <v>122</v>
      </c>
      <c r="C9" s="69">
        <f>C11+C37+C38+C44+C45+C46+C47</f>
        <v>4428686000000</v>
      </c>
      <c r="D9" s="69">
        <f t="shared" ref="D9:J9" si="0">D11+D37+D38+D44+D45+D46+D47</f>
        <v>3326699000000</v>
      </c>
      <c r="E9" s="69">
        <f t="shared" si="0"/>
        <v>1385854883112</v>
      </c>
      <c r="F9" s="69">
        <f t="shared" si="0"/>
        <v>933399512550.19995</v>
      </c>
      <c r="G9" s="96">
        <f>E9/C9*100%</f>
        <v>0.31292687788477214</v>
      </c>
      <c r="H9" s="96">
        <f>F9/D9*100%</f>
        <v>0.28057828873312551</v>
      </c>
      <c r="I9" s="96"/>
      <c r="J9" s="69">
        <f t="shared" si="0"/>
        <v>5102000185401</v>
      </c>
      <c r="K9" s="69">
        <f t="shared" ref="K9" si="1">K11+K37+K38+K44+K45+K46+K47</f>
        <v>3700698542204</v>
      </c>
      <c r="L9" s="18">
        <f t="shared" ref="L9:M15" si="2">J9/C9*100%</f>
        <v>1.1520347537398226</v>
      </c>
      <c r="M9" s="18">
        <f t="shared" si="2"/>
        <v>1.1124236193908736</v>
      </c>
      <c r="N9" s="18"/>
    </row>
    <row r="10" spans="1:16" ht="48" customHeight="1">
      <c r="A10" s="166" t="s">
        <v>1</v>
      </c>
      <c r="B10" s="166" t="s">
        <v>123</v>
      </c>
      <c r="C10" s="69">
        <f>C11+C37+C38</f>
        <v>4428686000000</v>
      </c>
      <c r="D10" s="69">
        <f>D11+D37+D38+D47</f>
        <v>3326699000000</v>
      </c>
      <c r="E10" s="69">
        <f>E11+E38+E45</f>
        <v>1385854883112</v>
      </c>
      <c r="F10" s="69">
        <f>F11+F38+F45+F47</f>
        <v>933399512550.19995</v>
      </c>
      <c r="G10" s="96">
        <f t="shared" ref="G10:G40" si="3">E10/C10*100%</f>
        <v>0.31292687788477214</v>
      </c>
      <c r="H10" s="96">
        <f t="shared" ref="H10:H40" si="4">F10/D10*100%</f>
        <v>0.28057828873312551</v>
      </c>
      <c r="I10" s="96">
        <f>F10/894353028468</f>
        <v>1.0436589163778931</v>
      </c>
      <c r="J10" s="69">
        <f>J11+J37+J38+J45</f>
        <v>5102000185401</v>
      </c>
      <c r="K10" s="69">
        <f>K11+K37+K38+K45+K47</f>
        <v>3700698542204</v>
      </c>
      <c r="L10" s="18">
        <f t="shared" si="2"/>
        <v>1.1520347537398226</v>
      </c>
      <c r="M10" s="18">
        <f t="shared" si="2"/>
        <v>1.1124236193908736</v>
      </c>
      <c r="N10" s="18">
        <v>1.2</v>
      </c>
      <c r="O10" s="27"/>
    </row>
    <row r="11" spans="1:16" ht="27.75" customHeight="1">
      <c r="A11" s="166" t="s">
        <v>5</v>
      </c>
      <c r="B11" s="19" t="s">
        <v>124</v>
      </c>
      <c r="C11" s="167">
        <f t="shared" ref="C11:J11" si="5">C12+C18+C20+C22+C23+C24+C26+C28+C32+C34+C29+C31+C36</f>
        <v>3124000000000</v>
      </c>
      <c r="D11" s="167">
        <f t="shared" si="5"/>
        <v>1864000000000</v>
      </c>
      <c r="E11" s="167">
        <f t="shared" si="5"/>
        <v>1047826883112</v>
      </c>
      <c r="F11" s="167">
        <f t="shared" si="5"/>
        <v>595371512550.19995</v>
      </c>
      <c r="G11" s="96">
        <f t="shared" si="3"/>
        <v>0.33541193441485273</v>
      </c>
      <c r="H11" s="96">
        <f t="shared" si="4"/>
        <v>0.31940531789173815</v>
      </c>
      <c r="I11" s="96">
        <f>F11/513778528468</f>
        <v>1.1588096418227058</v>
      </c>
      <c r="J11" s="167">
        <f t="shared" si="5"/>
        <v>3797314185401</v>
      </c>
      <c r="K11" s="167">
        <f t="shared" ref="K11" si="6">K12+K18+K20+K22+K23+K24+K26+K28+K32+K34+K29+K31+K36</f>
        <v>2237999542204</v>
      </c>
      <c r="L11" s="18">
        <f t="shared" si="2"/>
        <v>1.2155295087711269</v>
      </c>
      <c r="M11" s="18">
        <f t="shared" si="2"/>
        <v>1.2006435312253219</v>
      </c>
      <c r="N11" s="18">
        <v>1.18</v>
      </c>
      <c r="O11" s="27"/>
    </row>
    <row r="12" spans="1:16">
      <c r="A12" s="166">
        <v>1</v>
      </c>
      <c r="B12" s="19" t="s">
        <v>53</v>
      </c>
      <c r="C12" s="167">
        <f>SUM(C13:C17)</f>
        <v>1700000000000</v>
      </c>
      <c r="D12" s="167">
        <f t="shared" ref="D12:J12" si="7">SUM(D13:D17)</f>
        <v>860000000000</v>
      </c>
      <c r="E12" s="167">
        <f t="shared" si="7"/>
        <v>580175232478</v>
      </c>
      <c r="F12" s="167">
        <f t="shared" si="7"/>
        <v>293198867219</v>
      </c>
      <c r="G12" s="96">
        <f t="shared" si="3"/>
        <v>0.34127954851647058</v>
      </c>
      <c r="H12" s="96">
        <f t="shared" si="4"/>
        <v>0.34092891537093023</v>
      </c>
      <c r="I12" s="96">
        <f>F12/258039948902</f>
        <v>1.1362537795663294</v>
      </c>
      <c r="J12" s="167">
        <f t="shared" si="7"/>
        <v>2066703963955</v>
      </c>
      <c r="K12" s="167">
        <f t="shared" ref="K12" si="8">SUM(K13:K17)</f>
        <v>1043844300985</v>
      </c>
      <c r="L12" s="18">
        <f t="shared" si="2"/>
        <v>1.2157082140911766</v>
      </c>
      <c r="M12" s="18">
        <f t="shared" si="2"/>
        <v>1.2137724430058139</v>
      </c>
      <c r="N12" s="18">
        <v>1.21</v>
      </c>
      <c r="O12" s="27"/>
    </row>
    <row r="13" spans="1:16">
      <c r="A13" s="16"/>
      <c r="B13" s="22" t="s">
        <v>125</v>
      </c>
      <c r="C13" s="17">
        <v>1292800000000</v>
      </c>
      <c r="D13" s="17">
        <f>C13*50%</f>
        <v>646400000000</v>
      </c>
      <c r="E13" s="17">
        <f>1658475299633-1180689635574</f>
        <v>477785664059</v>
      </c>
      <c r="F13" s="17">
        <f>E13*50%</f>
        <v>238892832029.5</v>
      </c>
      <c r="G13" s="96">
        <f t="shared" si="3"/>
        <v>0.36957430697633042</v>
      </c>
      <c r="H13" s="96">
        <f t="shared" si="4"/>
        <v>0.36957430697633042</v>
      </c>
      <c r="I13" s="96">
        <f>F13/208426305825</f>
        <v>1.1461740929673265</v>
      </c>
      <c r="J13" s="17">
        <v>1658475299633</v>
      </c>
      <c r="K13" s="17">
        <v>829237659361</v>
      </c>
      <c r="L13" s="18">
        <f t="shared" si="2"/>
        <v>1.2828552750874072</v>
      </c>
      <c r="M13" s="18">
        <f t="shared" si="2"/>
        <v>1.2828552898530321</v>
      </c>
      <c r="N13" s="18">
        <v>1.27</v>
      </c>
      <c r="O13" s="150"/>
    </row>
    <row r="14" spans="1:16">
      <c r="A14" s="16"/>
      <c r="B14" s="22" t="s">
        <v>126</v>
      </c>
      <c r="C14" s="17">
        <v>385000000000</v>
      </c>
      <c r="D14" s="17">
        <f t="shared" ref="D14:D15" si="9">C14*50%</f>
        <v>192500000000</v>
      </c>
      <c r="E14" s="17">
        <f>384035592603-288692820626</f>
        <v>95342771977</v>
      </c>
      <c r="F14" s="17">
        <f t="shared" ref="F14:F15" si="10">E14*50%</f>
        <v>47671385988.5</v>
      </c>
      <c r="G14" s="96">
        <f t="shared" si="3"/>
        <v>0.24764356357662337</v>
      </c>
      <c r="H14" s="96">
        <f t="shared" si="4"/>
        <v>0.24764356357662337</v>
      </c>
      <c r="I14" s="96">
        <f>F14/44461805742</f>
        <v>1.0721873570570737</v>
      </c>
      <c r="J14" s="17">
        <v>384035592603</v>
      </c>
      <c r="K14" s="17">
        <v>192017800211</v>
      </c>
      <c r="L14" s="18">
        <f t="shared" si="2"/>
        <v>0.99749504572207792</v>
      </c>
      <c r="M14" s="18">
        <f t="shared" si="2"/>
        <v>0.99749506603116889</v>
      </c>
      <c r="N14" s="18">
        <v>1.02</v>
      </c>
      <c r="O14" s="150"/>
    </row>
    <row r="15" spans="1:16">
      <c r="A15" s="16"/>
      <c r="B15" s="22" t="s">
        <v>127</v>
      </c>
      <c r="C15" s="17">
        <v>2200000000</v>
      </c>
      <c r="D15" s="17">
        <f t="shared" si="9"/>
        <v>1100000000</v>
      </c>
      <c r="E15" s="17">
        <f>3145423023-2321128541</f>
        <v>824294482</v>
      </c>
      <c r="F15" s="17">
        <f t="shared" si="10"/>
        <v>412147241</v>
      </c>
      <c r="G15" s="96">
        <f t="shared" si="3"/>
        <v>0.37467930999999999</v>
      </c>
      <c r="H15" s="96">
        <f t="shared" si="4"/>
        <v>0.37467930999999999</v>
      </c>
      <c r="I15" s="96">
        <f>E15/522457899</f>
        <v>1.5777242215645015</v>
      </c>
      <c r="J15" s="17">
        <v>3145423023</v>
      </c>
      <c r="K15" s="17">
        <v>1541192717</v>
      </c>
      <c r="L15" s="18">
        <f t="shared" si="2"/>
        <v>1.4297377377272726</v>
      </c>
      <c r="M15" s="18">
        <f t="shared" si="2"/>
        <v>1.4010842881818182</v>
      </c>
      <c r="N15" s="18">
        <v>1.17</v>
      </c>
      <c r="O15" s="150"/>
    </row>
    <row r="16" spans="1:16" ht="31.2">
      <c r="A16" s="16"/>
      <c r="B16" s="21" t="s">
        <v>54</v>
      </c>
      <c r="C16" s="17"/>
      <c r="D16" s="17"/>
      <c r="E16" s="17"/>
      <c r="F16" s="17"/>
      <c r="G16" s="96"/>
      <c r="H16" s="96"/>
      <c r="I16" s="96"/>
      <c r="J16" s="17"/>
      <c r="K16" s="17"/>
      <c r="L16" s="18"/>
      <c r="M16" s="18"/>
      <c r="N16" s="18"/>
      <c r="O16" s="150"/>
    </row>
    <row r="17" spans="1:15">
      <c r="A17" s="16"/>
      <c r="B17" s="20" t="s">
        <v>55</v>
      </c>
      <c r="C17" s="17">
        <v>20000000000</v>
      </c>
      <c r="D17" s="17">
        <f>C17</f>
        <v>20000000000</v>
      </c>
      <c r="E17" s="17">
        <f>21047648696-14825146736</f>
        <v>6222501960</v>
      </c>
      <c r="F17" s="17">
        <f>E17</f>
        <v>6222501960</v>
      </c>
      <c r="G17" s="96">
        <f t="shared" si="3"/>
        <v>0.31112509799999999</v>
      </c>
      <c r="H17" s="96">
        <f t="shared" si="4"/>
        <v>0.31112509799999999</v>
      </c>
      <c r="I17" s="96">
        <f>E17/4629379436</f>
        <v>1.3441330627624104</v>
      </c>
      <c r="J17" s="17">
        <v>21047648696</v>
      </c>
      <c r="K17" s="17">
        <v>21047648696</v>
      </c>
      <c r="L17" s="18">
        <f>J17/C17*100%</f>
        <v>1.0523824347999999</v>
      </c>
      <c r="M17" s="18">
        <f>K17/D17*100%</f>
        <v>1.0523824347999999</v>
      </c>
      <c r="N17" s="18">
        <v>1.08</v>
      </c>
      <c r="O17" s="150"/>
    </row>
    <row r="18" spans="1:15" ht="20.25" customHeight="1">
      <c r="A18" s="166">
        <v>2</v>
      </c>
      <c r="B18" s="19" t="s">
        <v>128</v>
      </c>
      <c r="C18" s="167">
        <v>350000000000</v>
      </c>
      <c r="D18" s="167">
        <f>C18</f>
        <v>350000000000</v>
      </c>
      <c r="E18" s="167">
        <f>364346049591-237358918395</f>
        <v>126987131196</v>
      </c>
      <c r="F18" s="167">
        <f>E18</f>
        <v>126987131196</v>
      </c>
      <c r="G18" s="96">
        <f t="shared" si="3"/>
        <v>0.36282037484571428</v>
      </c>
      <c r="H18" s="96">
        <f t="shared" si="4"/>
        <v>0.36282037484571428</v>
      </c>
      <c r="I18" s="96">
        <f>E18/95597140638</f>
        <v>1.3283570026102061</v>
      </c>
      <c r="J18" s="167">
        <v>364346049591</v>
      </c>
      <c r="K18" s="167">
        <f>J18</f>
        <v>364346049591</v>
      </c>
      <c r="L18" s="18">
        <f>J18/C18*100%</f>
        <v>1.0409887131171429</v>
      </c>
      <c r="M18" s="18">
        <f>K18/D18*100%</f>
        <v>1.0409887131171429</v>
      </c>
      <c r="N18" s="18">
        <v>1.08</v>
      </c>
      <c r="O18" s="150"/>
    </row>
    <row r="19" spans="1:15" ht="21" customHeight="1">
      <c r="A19" s="166">
        <v>3</v>
      </c>
      <c r="B19" s="19" t="s">
        <v>56</v>
      </c>
      <c r="C19" s="167">
        <v>0</v>
      </c>
      <c r="D19" s="17"/>
      <c r="E19" s="17">
        <v>0</v>
      </c>
      <c r="F19" s="17">
        <v>0</v>
      </c>
      <c r="G19" s="96"/>
      <c r="H19" s="96"/>
      <c r="I19" s="96"/>
      <c r="J19" s="17">
        <v>200000</v>
      </c>
      <c r="K19" s="17">
        <v>200000</v>
      </c>
      <c r="L19" s="18">
        <v>0</v>
      </c>
      <c r="M19" s="18"/>
      <c r="N19" s="18"/>
      <c r="O19" s="150"/>
    </row>
    <row r="20" spans="1:15" ht="44.25" customHeight="1">
      <c r="A20" s="166">
        <v>4</v>
      </c>
      <c r="B20" s="19" t="s">
        <v>129</v>
      </c>
      <c r="C20" s="167">
        <v>59000000000</v>
      </c>
      <c r="D20" s="17">
        <f>C20</f>
        <v>59000000000</v>
      </c>
      <c r="E20" s="17">
        <f>130045646790-110041080427</f>
        <v>20004566363</v>
      </c>
      <c r="F20" s="17">
        <f>E20</f>
        <v>20004566363</v>
      </c>
      <c r="G20" s="96">
        <f t="shared" si="3"/>
        <v>0.33906044683050846</v>
      </c>
      <c r="H20" s="96">
        <f t="shared" si="4"/>
        <v>0.33906044683050846</v>
      </c>
      <c r="I20" s="96">
        <f>E20/20347445164</f>
        <v>0.98314880329022125</v>
      </c>
      <c r="J20" s="17">
        <v>130045646790</v>
      </c>
      <c r="K20" s="17">
        <f>J20</f>
        <v>130045646790</v>
      </c>
      <c r="L20" s="18">
        <f>J20/C20*100%</f>
        <v>2.2041635049152544</v>
      </c>
      <c r="M20" s="18">
        <f>K20/D20*100%</f>
        <v>2.2041635049152544</v>
      </c>
      <c r="N20" s="18">
        <v>1.1200000000000001</v>
      </c>
      <c r="O20" s="150"/>
    </row>
    <row r="21" spans="1:15" ht="20.25" customHeight="1">
      <c r="A21" s="166">
        <v>5</v>
      </c>
      <c r="B21" s="19" t="s">
        <v>57</v>
      </c>
      <c r="C21" s="167">
        <v>0</v>
      </c>
      <c r="D21" s="17"/>
      <c r="E21" s="17"/>
      <c r="F21" s="17"/>
      <c r="G21" s="96"/>
      <c r="H21" s="96"/>
      <c r="I21" s="96"/>
      <c r="J21" s="17"/>
      <c r="K21" s="17"/>
      <c r="L21" s="18"/>
      <c r="M21" s="18"/>
      <c r="N21" s="18"/>
      <c r="O21" s="150"/>
    </row>
    <row r="22" spans="1:15" ht="21" customHeight="1">
      <c r="A22" s="166">
        <v>6</v>
      </c>
      <c r="B22" s="19" t="s">
        <v>130</v>
      </c>
      <c r="C22" s="167">
        <v>380000000000</v>
      </c>
      <c r="D22" s="167">
        <f>C22*50%</f>
        <v>190000000000</v>
      </c>
      <c r="E22" s="167">
        <f>465954352528-305808967272</f>
        <v>160145385256</v>
      </c>
      <c r="F22" s="167">
        <f>E22*50%</f>
        <v>80072692628</v>
      </c>
      <c r="G22" s="96">
        <f t="shared" si="3"/>
        <v>0.42143522435789471</v>
      </c>
      <c r="H22" s="96">
        <f t="shared" si="4"/>
        <v>0.42143522435789471</v>
      </c>
      <c r="I22" s="96">
        <f>E22/84866695358</f>
        <v>1.8870227546912939</v>
      </c>
      <c r="J22" s="167">
        <v>465954352528</v>
      </c>
      <c r="K22" s="167">
        <v>232977180108</v>
      </c>
      <c r="L22" s="18">
        <f t="shared" ref="L22:M28" si="11">J22/C22*100%</f>
        <v>1.2261956645473684</v>
      </c>
      <c r="M22" s="18">
        <f t="shared" si="11"/>
        <v>1.2261956847789475</v>
      </c>
      <c r="N22" s="18">
        <v>1.26</v>
      </c>
      <c r="O22" s="150"/>
    </row>
    <row r="23" spans="1:15" ht="21" customHeight="1">
      <c r="A23" s="166">
        <v>7</v>
      </c>
      <c r="B23" s="19" t="s">
        <v>131</v>
      </c>
      <c r="C23" s="167">
        <v>10000000000</v>
      </c>
      <c r="D23" s="167">
        <f>C23*50%</f>
        <v>5000000000</v>
      </c>
      <c r="E23" s="167">
        <f>18395152105-12209757675</f>
        <v>6185394430</v>
      </c>
      <c r="F23" s="167">
        <f>E23*50%</f>
        <v>3092697215</v>
      </c>
      <c r="G23" s="96">
        <f t="shared" si="3"/>
        <v>0.61853944299999997</v>
      </c>
      <c r="H23" s="96">
        <f t="shared" si="4"/>
        <v>0.61853944299999997</v>
      </c>
      <c r="I23" s="96">
        <f>E23/3876980465</f>
        <v>1.5954154233789775</v>
      </c>
      <c r="J23" s="167">
        <v>18395152105</v>
      </c>
      <c r="K23" s="167">
        <v>5941717487</v>
      </c>
      <c r="L23" s="18">
        <f t="shared" si="11"/>
        <v>1.8395152105000001</v>
      </c>
      <c r="M23" s="18">
        <f t="shared" si="11"/>
        <v>1.1883434974</v>
      </c>
      <c r="N23" s="18">
        <v>1.31</v>
      </c>
      <c r="O23" s="150"/>
    </row>
    <row r="24" spans="1:15" ht="19.5" customHeight="1">
      <c r="A24" s="166">
        <v>8</v>
      </c>
      <c r="B24" s="19" t="s">
        <v>58</v>
      </c>
      <c r="C24" s="167">
        <v>75000000000</v>
      </c>
      <c r="D24" s="167">
        <f>D25</f>
        <v>60000000000</v>
      </c>
      <c r="E24" s="167">
        <f>98892884093-79198026943</f>
        <v>19694857150</v>
      </c>
      <c r="F24" s="167">
        <f>F25</f>
        <v>11095476609</v>
      </c>
      <c r="G24" s="96">
        <f t="shared" si="3"/>
        <v>0.26259809533333334</v>
      </c>
      <c r="H24" s="96">
        <f t="shared" si="4"/>
        <v>0.18492461015</v>
      </c>
      <c r="I24" s="96">
        <f>E24/14095915510</f>
        <v>1.397203121431025</v>
      </c>
      <c r="J24" s="167">
        <v>98892884093</v>
      </c>
      <c r="K24" s="167">
        <v>74903196082</v>
      </c>
      <c r="L24" s="18">
        <f t="shared" si="11"/>
        <v>1.3185717879066667</v>
      </c>
      <c r="M24" s="18">
        <f t="shared" si="11"/>
        <v>1.2483866013666667</v>
      </c>
      <c r="N24" s="18">
        <v>1.17</v>
      </c>
      <c r="O24" s="150"/>
    </row>
    <row r="25" spans="1:15" ht="31.2">
      <c r="A25" s="16"/>
      <c r="B25" s="21" t="s">
        <v>59</v>
      </c>
      <c r="C25" s="17">
        <v>60000000000</v>
      </c>
      <c r="D25" s="17">
        <f>C25</f>
        <v>60000000000</v>
      </c>
      <c r="E25" s="17">
        <f>74903196082-63807719473</f>
        <v>11095476609</v>
      </c>
      <c r="F25" s="17">
        <f>E25</f>
        <v>11095476609</v>
      </c>
      <c r="G25" s="96">
        <f t="shared" si="3"/>
        <v>0.18492461015</v>
      </c>
      <c r="H25" s="96">
        <f t="shared" si="4"/>
        <v>0.18492461015</v>
      </c>
      <c r="I25" s="96">
        <f>E25/7048498767</f>
        <v>1.5741616726879963</v>
      </c>
      <c r="J25" s="17">
        <v>74903196082</v>
      </c>
      <c r="K25" s="17">
        <f>J25</f>
        <v>74903196082</v>
      </c>
      <c r="L25" s="18">
        <f t="shared" si="11"/>
        <v>1.2483866013666667</v>
      </c>
      <c r="M25" s="18">
        <f t="shared" si="11"/>
        <v>1.2483866013666667</v>
      </c>
      <c r="N25" s="18">
        <v>1.22</v>
      </c>
      <c r="O25" s="150"/>
    </row>
    <row r="26" spans="1:15" ht="25.5" customHeight="1">
      <c r="A26" s="166">
        <v>9</v>
      </c>
      <c r="B26" s="19" t="s">
        <v>132</v>
      </c>
      <c r="C26" s="167">
        <v>450000000000</v>
      </c>
      <c r="D26" s="167">
        <f>C26*60%</f>
        <v>270000000000</v>
      </c>
      <c r="E26" s="167">
        <f>468803767108-385237225861</f>
        <v>83566541247</v>
      </c>
      <c r="F26" s="167">
        <f>E26*60%</f>
        <v>50139924748.199997</v>
      </c>
      <c r="G26" s="96">
        <f t="shared" si="3"/>
        <v>0.18570342499333334</v>
      </c>
      <c r="H26" s="96">
        <f t="shared" si="4"/>
        <v>0.18570342499333331</v>
      </c>
      <c r="I26" s="96">
        <f>E26/90382773383</f>
        <v>0.92458483092661925</v>
      </c>
      <c r="J26" s="167">
        <v>468803767108</v>
      </c>
      <c r="K26" s="167">
        <v>281282260274</v>
      </c>
      <c r="L26" s="18">
        <f t="shared" si="11"/>
        <v>1.0417861491288889</v>
      </c>
      <c r="M26" s="18">
        <f t="shared" si="11"/>
        <v>1.041786149162963</v>
      </c>
      <c r="N26" s="18">
        <v>1.01</v>
      </c>
      <c r="O26" s="150"/>
    </row>
    <row r="27" spans="1:15" ht="31.2" hidden="1">
      <c r="A27" s="16"/>
      <c r="B27" s="21" t="s">
        <v>133</v>
      </c>
      <c r="C27" s="17">
        <v>590000000000</v>
      </c>
      <c r="D27" s="17">
        <f>C27*60%</f>
        <v>354000000000</v>
      </c>
      <c r="E27" s="17"/>
      <c r="F27" s="17"/>
      <c r="G27" s="96">
        <f t="shared" si="3"/>
        <v>0</v>
      </c>
      <c r="H27" s="96">
        <f t="shared" si="4"/>
        <v>0</v>
      </c>
      <c r="I27" s="96"/>
      <c r="J27" s="17"/>
      <c r="K27" s="17"/>
      <c r="L27" s="18">
        <f t="shared" si="11"/>
        <v>0</v>
      </c>
      <c r="M27" s="18">
        <f t="shared" si="11"/>
        <v>0</v>
      </c>
      <c r="N27" s="18"/>
      <c r="O27" s="150"/>
    </row>
    <row r="28" spans="1:15" ht="19.5" customHeight="1">
      <c r="A28" s="166">
        <v>10</v>
      </c>
      <c r="B28" s="19" t="s">
        <v>60</v>
      </c>
      <c r="C28" s="167">
        <v>10000000000</v>
      </c>
      <c r="D28" s="167">
        <f>C28</f>
        <v>10000000000</v>
      </c>
      <c r="E28" s="167">
        <f>17466839763-13080478837</f>
        <v>4386360926</v>
      </c>
      <c r="F28" s="167">
        <f>E28</f>
        <v>4386360926</v>
      </c>
      <c r="G28" s="96">
        <f t="shared" si="3"/>
        <v>0.43863609260000003</v>
      </c>
      <c r="H28" s="96">
        <f t="shared" si="4"/>
        <v>0.43863609260000003</v>
      </c>
      <c r="I28" s="96">
        <f>E28/2102746028</f>
        <v>2.0860155566062493</v>
      </c>
      <c r="J28" s="167">
        <v>17466839763</v>
      </c>
      <c r="K28" s="167">
        <v>17466839763</v>
      </c>
      <c r="L28" s="18">
        <f t="shared" si="11"/>
        <v>1.7466839762999999</v>
      </c>
      <c r="M28" s="18">
        <f t="shared" si="11"/>
        <v>1.7466839762999999</v>
      </c>
      <c r="N28" s="18">
        <v>1.71</v>
      </c>
      <c r="O28" s="150"/>
    </row>
    <row r="29" spans="1:15" ht="22.5" customHeight="1">
      <c r="A29" s="166">
        <v>11</v>
      </c>
      <c r="B29" s="19" t="s">
        <v>61</v>
      </c>
      <c r="C29" s="17">
        <v>0</v>
      </c>
      <c r="D29" s="17"/>
      <c r="E29" s="17"/>
      <c r="F29" s="17"/>
      <c r="G29" s="96"/>
      <c r="H29" s="96"/>
      <c r="I29" s="96"/>
      <c r="J29" s="17"/>
      <c r="K29" s="17"/>
      <c r="L29" s="18"/>
      <c r="M29" s="18"/>
      <c r="N29" s="18"/>
      <c r="O29" s="150"/>
    </row>
    <row r="30" spans="1:15">
      <c r="A30" s="16"/>
      <c r="B30" s="21" t="s">
        <v>62</v>
      </c>
      <c r="C30" s="17">
        <v>0</v>
      </c>
      <c r="D30" s="17"/>
      <c r="E30" s="17"/>
      <c r="F30" s="17"/>
      <c r="G30" s="96"/>
      <c r="H30" s="96"/>
      <c r="I30" s="96"/>
      <c r="J30" s="17"/>
      <c r="K30" s="17"/>
      <c r="L30" s="18"/>
      <c r="M30" s="18"/>
      <c r="N30" s="18"/>
      <c r="O30" s="150"/>
    </row>
    <row r="31" spans="1:15" ht="31.2">
      <c r="A31" s="166">
        <v>12</v>
      </c>
      <c r="B31" s="19" t="s">
        <v>63</v>
      </c>
      <c r="C31" s="17">
        <v>0</v>
      </c>
      <c r="D31" s="17"/>
      <c r="E31" s="17"/>
      <c r="F31" s="17"/>
      <c r="G31" s="96"/>
      <c r="H31" s="96"/>
      <c r="I31" s="96"/>
      <c r="J31" s="17"/>
      <c r="K31" s="17"/>
      <c r="L31" s="18"/>
      <c r="M31" s="18"/>
      <c r="N31" s="18"/>
      <c r="O31" s="150"/>
    </row>
    <row r="32" spans="1:15">
      <c r="A32" s="166">
        <v>13</v>
      </c>
      <c r="B32" s="19" t="s">
        <v>21</v>
      </c>
      <c r="C32" s="167">
        <v>90000000000</v>
      </c>
      <c r="D32" s="167">
        <f>D33</f>
        <v>60000000000</v>
      </c>
      <c r="E32" s="167">
        <f>166705529468-120024115402</f>
        <v>46681414066</v>
      </c>
      <c r="F32" s="167">
        <f>F33</f>
        <v>6393795646</v>
      </c>
      <c r="G32" s="96">
        <f t="shared" si="3"/>
        <v>0.5186823785111111</v>
      </c>
      <c r="H32" s="96">
        <f t="shared" si="4"/>
        <v>0.10656326076666667</v>
      </c>
      <c r="I32" s="96">
        <f>E32/37423821544</f>
        <v>1.2473716509981656</v>
      </c>
      <c r="J32" s="167">
        <v>166705529468</v>
      </c>
      <c r="K32" s="167">
        <f>K33</f>
        <v>87192351124</v>
      </c>
      <c r="L32" s="18">
        <f>J32/C32*100%</f>
        <v>1.8522836607555555</v>
      </c>
      <c r="M32" s="18">
        <f>K32/D32*100%</f>
        <v>1.4532058520666666</v>
      </c>
      <c r="N32" s="18">
        <v>1.31</v>
      </c>
      <c r="O32" s="150"/>
    </row>
    <row r="33" spans="1:15">
      <c r="A33" s="16"/>
      <c r="B33" s="21" t="s">
        <v>64</v>
      </c>
      <c r="C33" s="17">
        <v>60000000000</v>
      </c>
      <c r="D33" s="17">
        <f>C33</f>
        <v>60000000000</v>
      </c>
      <c r="E33" s="17">
        <f>87192351124-80798555478</f>
        <v>6393795646</v>
      </c>
      <c r="F33" s="17">
        <f>E33</f>
        <v>6393795646</v>
      </c>
      <c r="G33" s="96">
        <f t="shared" si="3"/>
        <v>0.10656326076666667</v>
      </c>
      <c r="H33" s="96">
        <f t="shared" si="4"/>
        <v>0.10656326076666667</v>
      </c>
      <c r="I33" s="96">
        <f>D33/32041247028</f>
        <v>1.8725862931479409</v>
      </c>
      <c r="J33" s="17">
        <v>87192351124</v>
      </c>
      <c r="K33" s="17">
        <f>J33</f>
        <v>87192351124</v>
      </c>
      <c r="L33" s="18">
        <f>J33/C33*100%</f>
        <v>1.4532058520666666</v>
      </c>
      <c r="M33" s="18">
        <f>K33/D33*100%</f>
        <v>1.4532058520666666</v>
      </c>
      <c r="N33" s="18"/>
      <c r="O33" s="150"/>
    </row>
    <row r="34" spans="1:15" ht="31.2">
      <c r="A34" s="166">
        <v>14</v>
      </c>
      <c r="B34" s="19" t="s">
        <v>65</v>
      </c>
      <c r="C34" s="167"/>
      <c r="D34" s="17"/>
      <c r="E34" s="17"/>
      <c r="F34" s="17"/>
      <c r="G34" s="96"/>
      <c r="H34" s="96"/>
      <c r="I34" s="96"/>
      <c r="J34" s="17"/>
      <c r="K34" s="17"/>
      <c r="L34" s="18"/>
      <c r="M34" s="18"/>
      <c r="N34" s="18"/>
      <c r="O34" s="150"/>
    </row>
    <row r="35" spans="1:15">
      <c r="A35" s="166">
        <v>16</v>
      </c>
      <c r="B35" s="19" t="s">
        <v>66</v>
      </c>
      <c r="C35" s="167">
        <v>0</v>
      </c>
      <c r="D35" s="17"/>
      <c r="E35" s="17"/>
      <c r="F35" s="17"/>
      <c r="G35" s="96"/>
      <c r="H35" s="96"/>
      <c r="I35" s="96"/>
      <c r="J35" s="17"/>
      <c r="K35" s="17"/>
      <c r="L35" s="18"/>
      <c r="M35" s="18"/>
      <c r="N35" s="18"/>
      <c r="O35" s="150"/>
    </row>
    <row r="36" spans="1:15" ht="31.2">
      <c r="A36" s="166">
        <v>17</v>
      </c>
      <c r="B36" s="19" t="s">
        <v>67</v>
      </c>
      <c r="C36" s="17">
        <v>0</v>
      </c>
      <c r="D36" s="17"/>
      <c r="E36" s="17"/>
      <c r="F36" s="17"/>
      <c r="G36" s="96"/>
      <c r="H36" s="96"/>
      <c r="I36" s="96"/>
      <c r="J36" s="17"/>
      <c r="K36" s="17"/>
      <c r="L36" s="18"/>
      <c r="M36" s="18"/>
      <c r="N36" s="18"/>
      <c r="O36" s="150"/>
    </row>
    <row r="37" spans="1:15">
      <c r="A37" s="166" t="s">
        <v>8</v>
      </c>
      <c r="B37" s="19" t="s">
        <v>68</v>
      </c>
      <c r="C37" s="17"/>
      <c r="D37" s="17"/>
      <c r="E37" s="17"/>
      <c r="F37" s="17"/>
      <c r="G37" s="96"/>
      <c r="H37" s="96"/>
      <c r="I37" s="96"/>
      <c r="J37" s="17"/>
      <c r="K37" s="17"/>
      <c r="L37" s="18"/>
      <c r="M37" s="18"/>
      <c r="N37" s="18"/>
      <c r="O37" s="150"/>
    </row>
    <row r="38" spans="1:15">
      <c r="A38" s="166" t="s">
        <v>9</v>
      </c>
      <c r="B38" s="19" t="s">
        <v>69</v>
      </c>
      <c r="C38" s="167">
        <f>C39+C40+C43</f>
        <v>1304686000000</v>
      </c>
      <c r="D38" s="167">
        <f t="shared" ref="D38" si="12">D39+D40+D43</f>
        <v>1304686000000</v>
      </c>
      <c r="E38" s="167">
        <f>E39+E40</f>
        <v>338028000000</v>
      </c>
      <c r="F38" s="167">
        <f>F39+F40</f>
        <v>338028000000</v>
      </c>
      <c r="G38" s="96">
        <f t="shared" si="3"/>
        <v>0.2590876272145175</v>
      </c>
      <c r="H38" s="96">
        <f t="shared" si="4"/>
        <v>0.2590876272145175</v>
      </c>
      <c r="I38" s="96">
        <f>E38/380574500000</f>
        <v>0.88820454339426314</v>
      </c>
      <c r="J38" s="167">
        <f>J39+J40+J43</f>
        <v>1304686000000</v>
      </c>
      <c r="K38" s="167">
        <f>K39+K40+K43</f>
        <v>1304686000000</v>
      </c>
      <c r="L38" s="18">
        <f>J38/C38*100%</f>
        <v>1</v>
      </c>
      <c r="M38" s="18">
        <f>K38/D38*100%</f>
        <v>1</v>
      </c>
      <c r="N38" s="18">
        <v>1</v>
      </c>
      <c r="O38" s="153"/>
    </row>
    <row r="39" spans="1:15">
      <c r="A39" s="16"/>
      <c r="B39" s="22" t="s">
        <v>70</v>
      </c>
      <c r="C39" s="17">
        <v>1047432000000</v>
      </c>
      <c r="D39" s="17">
        <f>C39</f>
        <v>1047432000000</v>
      </c>
      <c r="E39" s="17">
        <f>1047432000000-785574000000</f>
        <v>261858000000</v>
      </c>
      <c r="F39" s="17">
        <f>E39</f>
        <v>261858000000</v>
      </c>
      <c r="G39" s="96">
        <f t="shared" si="3"/>
        <v>0.25</v>
      </c>
      <c r="H39" s="96">
        <f t="shared" si="4"/>
        <v>0.25</v>
      </c>
      <c r="I39" s="96">
        <f>E39/336179000000</f>
        <v>0.77892432305408721</v>
      </c>
      <c r="J39" s="17">
        <v>1047432000000</v>
      </c>
      <c r="K39" s="17">
        <f>J39</f>
        <v>1047432000000</v>
      </c>
      <c r="L39" s="18">
        <f>J39/C39*100%</f>
        <v>1</v>
      </c>
      <c r="M39" s="18">
        <f>K39/D39*100%</f>
        <v>1</v>
      </c>
      <c r="N39" s="18">
        <v>1</v>
      </c>
      <c r="O39" s="150"/>
    </row>
    <row r="40" spans="1:15">
      <c r="A40" s="16"/>
      <c r="B40" s="22" t="s">
        <v>134</v>
      </c>
      <c r="C40" s="167">
        <f>C41+C42</f>
        <v>165644000000</v>
      </c>
      <c r="D40" s="167">
        <f t="shared" ref="D40" si="13">D41+D42</f>
        <v>165644000000</v>
      </c>
      <c r="E40" s="167">
        <f>E41+E42</f>
        <v>76170000000</v>
      </c>
      <c r="F40" s="167">
        <f>F41+F42</f>
        <v>76170000000</v>
      </c>
      <c r="G40" s="96">
        <f t="shared" si="3"/>
        <v>0.45984158798386904</v>
      </c>
      <c r="H40" s="96">
        <f t="shared" si="4"/>
        <v>0.45984158798386904</v>
      </c>
      <c r="I40" s="23">
        <f>E40/44395500000</f>
        <v>1.7157144305166063</v>
      </c>
      <c r="J40" s="167">
        <f>J41+J42</f>
        <v>165644000000</v>
      </c>
      <c r="K40" s="167">
        <f>K41+K42</f>
        <v>165644000000</v>
      </c>
      <c r="L40" s="18"/>
      <c r="M40" s="18"/>
      <c r="N40" s="18"/>
      <c r="O40" s="150"/>
    </row>
    <row r="41" spans="1:15">
      <c r="A41" s="16"/>
      <c r="B41" s="22" t="s">
        <v>71</v>
      </c>
      <c r="C41" s="17">
        <v>89474000000</v>
      </c>
      <c r="D41" s="17">
        <f>C41</f>
        <v>89474000000</v>
      </c>
      <c r="E41" s="17">
        <f>89474000000-89474000000</f>
        <v>0</v>
      </c>
      <c r="F41" s="17">
        <v>0</v>
      </c>
      <c r="G41" s="96"/>
      <c r="H41" s="96"/>
      <c r="I41" s="23"/>
      <c r="J41" s="17">
        <v>89474000000</v>
      </c>
      <c r="K41" s="17">
        <f>J41</f>
        <v>89474000000</v>
      </c>
      <c r="L41" s="18"/>
      <c r="M41" s="18"/>
      <c r="N41" s="18"/>
      <c r="O41" s="150"/>
    </row>
    <row r="42" spans="1:15">
      <c r="A42" s="16"/>
      <c r="B42" s="22" t="s">
        <v>72</v>
      </c>
      <c r="C42" s="17">
        <v>76170000000</v>
      </c>
      <c r="D42" s="17">
        <v>76170000000</v>
      </c>
      <c r="E42" s="17">
        <v>76170000000</v>
      </c>
      <c r="F42" s="17">
        <f>E42</f>
        <v>76170000000</v>
      </c>
      <c r="G42" s="96">
        <v>0.46</v>
      </c>
      <c r="H42" s="96">
        <v>0.46</v>
      </c>
      <c r="I42" s="23">
        <f t="shared" ref="I42" si="14">E42/44395500000</f>
        <v>1.7157144305166063</v>
      </c>
      <c r="J42" s="17">
        <v>76170000000</v>
      </c>
      <c r="K42" s="17">
        <f>J42</f>
        <v>76170000000</v>
      </c>
      <c r="L42" s="18"/>
      <c r="M42" s="18"/>
      <c r="N42" s="18"/>
      <c r="O42" s="150"/>
    </row>
    <row r="43" spans="1:15">
      <c r="A43" s="166"/>
      <c r="B43" s="22" t="s">
        <v>135</v>
      </c>
      <c r="C43" s="17">
        <v>91610000000</v>
      </c>
      <c r="D43" s="17">
        <f>C43</f>
        <v>91610000000</v>
      </c>
      <c r="E43" s="17">
        <v>0</v>
      </c>
      <c r="F43" s="17">
        <v>0</v>
      </c>
      <c r="G43" s="96"/>
      <c r="H43" s="17"/>
      <c r="I43" s="17"/>
      <c r="J43" s="17">
        <v>91610000000</v>
      </c>
      <c r="K43" s="17">
        <f>J43</f>
        <v>91610000000</v>
      </c>
      <c r="L43" s="18">
        <f>J43/C43*100%</f>
        <v>1</v>
      </c>
      <c r="M43" s="18">
        <f>K43/D43*100%</f>
        <v>1</v>
      </c>
      <c r="N43" s="18">
        <v>1</v>
      </c>
      <c r="O43" s="150"/>
    </row>
    <row r="44" spans="1:15" s="76" customFormat="1">
      <c r="A44" s="166" t="s">
        <v>11</v>
      </c>
      <c r="B44" s="24" t="s">
        <v>136</v>
      </c>
      <c r="C44" s="167"/>
      <c r="D44" s="167"/>
      <c r="E44" s="167"/>
      <c r="F44" s="167"/>
      <c r="G44" s="96"/>
      <c r="H44" s="167"/>
      <c r="I44" s="167"/>
      <c r="J44" s="167"/>
      <c r="K44" s="167"/>
      <c r="L44" s="18"/>
      <c r="M44" s="18"/>
      <c r="N44" s="18"/>
      <c r="O44" s="150"/>
    </row>
    <row r="45" spans="1:15" s="76" customFormat="1">
      <c r="A45" s="166" t="s">
        <v>46</v>
      </c>
      <c r="B45" s="24" t="s">
        <v>137</v>
      </c>
      <c r="C45" s="167"/>
      <c r="D45" s="167"/>
      <c r="E45" s="167">
        <f>325961684-325961684</f>
        <v>0</v>
      </c>
      <c r="F45" s="167">
        <f>E45</f>
        <v>0</v>
      </c>
      <c r="G45" s="96"/>
      <c r="H45" s="167"/>
      <c r="I45" s="167"/>
      <c r="J45" s="167"/>
      <c r="K45" s="167"/>
      <c r="L45" s="18"/>
      <c r="M45" s="18"/>
      <c r="N45" s="18"/>
      <c r="O45" s="150"/>
    </row>
    <row r="46" spans="1:15" s="76" customFormat="1">
      <c r="A46" s="166" t="s">
        <v>138</v>
      </c>
      <c r="B46" s="24" t="s">
        <v>139</v>
      </c>
      <c r="C46" s="167"/>
      <c r="D46" s="167"/>
      <c r="E46" s="167"/>
      <c r="F46" s="167"/>
      <c r="G46" s="96"/>
      <c r="H46" s="167"/>
      <c r="I46" s="167"/>
      <c r="J46" s="167"/>
      <c r="K46" s="167"/>
      <c r="L46" s="18"/>
      <c r="M46" s="18"/>
      <c r="N46" s="18"/>
      <c r="O46" s="150"/>
    </row>
    <row r="47" spans="1:15" ht="27" customHeight="1">
      <c r="A47" s="166" t="s">
        <v>140</v>
      </c>
      <c r="B47" s="19" t="s">
        <v>73</v>
      </c>
      <c r="C47" s="167">
        <f>C48</f>
        <v>0</v>
      </c>
      <c r="D47" s="167">
        <f>D48</f>
        <v>158013000000</v>
      </c>
      <c r="E47" s="167"/>
      <c r="F47" s="167">
        <f>F48</f>
        <v>0</v>
      </c>
      <c r="G47" s="96"/>
      <c r="H47" s="167"/>
      <c r="I47" s="167"/>
      <c r="J47" s="167">
        <v>0</v>
      </c>
      <c r="K47" s="167">
        <v>158013000000</v>
      </c>
      <c r="L47" s="18"/>
      <c r="M47" s="18"/>
      <c r="N47" s="18"/>
      <c r="O47" s="15">
        <v>0</v>
      </c>
    </row>
    <row r="48" spans="1:15">
      <c r="A48" s="16"/>
      <c r="B48" s="22" t="s">
        <v>141</v>
      </c>
      <c r="C48" s="17">
        <v>0</v>
      </c>
      <c r="D48" s="17">
        <v>158013000000</v>
      </c>
      <c r="E48" s="17"/>
      <c r="F48" s="17">
        <v>0</v>
      </c>
      <c r="G48" s="96"/>
      <c r="H48" s="17"/>
      <c r="I48" s="17"/>
      <c r="J48" s="17"/>
      <c r="K48" s="17"/>
      <c r="L48" s="23"/>
      <c r="M48" s="23"/>
      <c r="N48" s="23"/>
      <c r="O48" s="15"/>
    </row>
    <row r="49" spans="1:11" ht="29.25" customHeight="1">
      <c r="A49" s="25" t="s">
        <v>142</v>
      </c>
      <c r="C49" s="14"/>
      <c r="D49" s="14"/>
      <c r="E49" s="14"/>
      <c r="F49" s="14"/>
      <c r="G49" s="14"/>
      <c r="H49" s="14"/>
      <c r="I49" s="14"/>
      <c r="J49" s="14"/>
      <c r="K49" s="14"/>
    </row>
    <row r="50" spans="1:11">
      <c r="A50" s="25"/>
      <c r="C50" s="14"/>
      <c r="D50" s="14"/>
      <c r="E50" s="14"/>
      <c r="F50" s="14"/>
      <c r="G50" s="14"/>
      <c r="H50" s="14"/>
      <c r="I50" s="14"/>
      <c r="J50" s="14"/>
      <c r="K50" s="14"/>
    </row>
    <row r="51" spans="1:11">
      <c r="A51" s="25"/>
      <c r="C51" s="14"/>
      <c r="D51" s="14"/>
      <c r="E51" s="14"/>
      <c r="F51" s="14"/>
      <c r="G51" s="14"/>
      <c r="H51" s="14"/>
      <c r="I51" s="14"/>
      <c r="J51" s="14"/>
      <c r="K51" s="14"/>
    </row>
    <row r="52" spans="1:11">
      <c r="A52" s="25"/>
      <c r="C52" s="14"/>
      <c r="D52" s="14"/>
      <c r="E52" s="14"/>
      <c r="F52" s="14"/>
      <c r="G52" s="14"/>
      <c r="H52" s="14"/>
      <c r="I52" s="14"/>
      <c r="J52" s="14"/>
      <c r="K52" s="14"/>
    </row>
    <row r="53" spans="1:11">
      <c r="A53" s="25"/>
      <c r="C53" s="14"/>
      <c r="D53" s="14"/>
      <c r="E53" s="14"/>
      <c r="F53" s="14"/>
      <c r="G53" s="14"/>
      <c r="H53" s="14"/>
      <c r="I53" s="14"/>
      <c r="J53" s="14"/>
      <c r="K53" s="14"/>
    </row>
    <row r="54" spans="1:11">
      <c r="A54" s="25"/>
      <c r="C54" s="14"/>
      <c r="D54" s="14"/>
      <c r="E54" s="14"/>
      <c r="F54" s="14"/>
      <c r="G54" s="14"/>
      <c r="H54" s="14"/>
      <c r="I54" s="14"/>
      <c r="J54" s="14"/>
      <c r="K54" s="14"/>
    </row>
    <row r="55" spans="1:11">
      <c r="A55" s="25"/>
      <c r="C55" s="14"/>
      <c r="D55" s="14"/>
      <c r="E55" s="14"/>
      <c r="F55" s="14"/>
      <c r="G55" s="14"/>
      <c r="H55" s="14"/>
      <c r="I55" s="14"/>
      <c r="J55" s="14"/>
      <c r="K55" s="14"/>
    </row>
    <row r="56" spans="1:11">
      <c r="A56" s="25"/>
      <c r="C56" s="14"/>
      <c r="D56" s="14"/>
      <c r="E56" s="14"/>
      <c r="F56" s="14"/>
      <c r="G56" s="14"/>
      <c r="H56" s="14"/>
      <c r="I56" s="14"/>
      <c r="J56" s="14"/>
      <c r="K56" s="14"/>
    </row>
    <row r="57" spans="1:11">
      <c r="A57" s="25"/>
      <c r="C57" s="14"/>
      <c r="D57" s="14"/>
      <c r="E57" s="14"/>
      <c r="F57" s="14"/>
      <c r="G57" s="14"/>
      <c r="H57" s="14"/>
      <c r="I57" s="14"/>
      <c r="J57" s="14"/>
      <c r="K57" s="14"/>
    </row>
    <row r="58" spans="1:11">
      <c r="A58" s="25"/>
      <c r="C58" s="14"/>
      <c r="D58" s="14"/>
      <c r="E58" s="14"/>
      <c r="F58" s="14"/>
      <c r="G58" s="14"/>
      <c r="H58" s="14"/>
      <c r="I58" s="14"/>
      <c r="J58" s="14"/>
      <c r="K58" s="14"/>
    </row>
    <row r="59" spans="1:11">
      <c r="A59" s="25"/>
      <c r="C59" s="14"/>
      <c r="D59" s="14"/>
      <c r="E59" s="14"/>
      <c r="F59" s="14"/>
      <c r="G59" s="14"/>
      <c r="H59" s="14"/>
      <c r="I59" s="14"/>
      <c r="J59" s="14"/>
      <c r="K59" s="14"/>
    </row>
    <row r="60" spans="1:11">
      <c r="A60" s="25"/>
      <c r="C60" s="14"/>
      <c r="D60" s="14"/>
      <c r="E60" s="14"/>
      <c r="F60" s="14"/>
      <c r="G60" s="14"/>
      <c r="H60" s="14"/>
      <c r="I60" s="14"/>
      <c r="J60" s="14"/>
      <c r="K60" s="14"/>
    </row>
    <row r="61" spans="1:11">
      <c r="A61" s="25"/>
      <c r="C61" s="14"/>
      <c r="D61" s="14"/>
      <c r="E61" s="14"/>
      <c r="F61" s="14"/>
      <c r="G61" s="14"/>
      <c r="H61" s="14"/>
      <c r="I61" s="14"/>
      <c r="J61" s="14"/>
      <c r="K61" s="14"/>
    </row>
    <row r="62" spans="1:11">
      <c r="A62" s="25"/>
      <c r="C62" s="14"/>
      <c r="D62" s="14"/>
      <c r="E62" s="14"/>
      <c r="F62" s="14"/>
      <c r="G62" s="14"/>
      <c r="H62" s="14"/>
      <c r="I62" s="14"/>
      <c r="J62" s="14"/>
      <c r="K62" s="14"/>
    </row>
    <row r="63" spans="1:11">
      <c r="A63" s="25"/>
      <c r="C63" s="14"/>
      <c r="D63" s="14"/>
      <c r="E63" s="14"/>
      <c r="F63" s="14"/>
      <c r="G63" s="14"/>
      <c r="H63" s="14"/>
      <c r="I63" s="14"/>
      <c r="J63" s="14"/>
      <c r="K63" s="14"/>
    </row>
    <row r="64" spans="1:11">
      <c r="A64" s="25"/>
      <c r="C64" s="14"/>
      <c r="D64" s="14"/>
      <c r="E64" s="14"/>
      <c r="F64" s="14"/>
      <c r="G64" s="14"/>
      <c r="H64" s="14"/>
      <c r="I64" s="14"/>
      <c r="J64" s="14"/>
      <c r="K64" s="14"/>
    </row>
    <row r="65" spans="1:14">
      <c r="A65" s="25"/>
    </row>
    <row r="66" spans="1:14">
      <c r="A66" s="25"/>
    </row>
    <row r="67" spans="1:14">
      <c r="A67" s="25"/>
    </row>
    <row r="68" spans="1:14">
      <c r="A68" s="25"/>
    </row>
    <row r="69" spans="1:14">
      <c r="A69" s="25"/>
    </row>
    <row r="70" spans="1:14">
      <c r="A70" s="25"/>
      <c r="J70" s="27"/>
      <c r="K70" s="27"/>
    </row>
    <row r="71" spans="1:14">
      <c r="A71" s="25"/>
      <c r="J71" s="27"/>
      <c r="K71" s="27"/>
    </row>
    <row r="72" spans="1:14">
      <c r="A72" s="25"/>
    </row>
    <row r="73" spans="1:14">
      <c r="A73" s="25"/>
    </row>
    <row r="74" spans="1:14">
      <c r="A74" s="25"/>
    </row>
    <row r="75" spans="1:14" ht="124.8">
      <c r="A75" s="25"/>
      <c r="C75" s="26">
        <v>1</v>
      </c>
      <c r="D75" s="27" t="s">
        <v>74</v>
      </c>
      <c r="E75" s="27"/>
      <c r="F75" s="27"/>
      <c r="G75" s="27"/>
      <c r="H75" s="27"/>
      <c r="I75" s="27"/>
      <c r="L75" s="68" t="s">
        <v>75</v>
      </c>
      <c r="M75" s="68"/>
      <c r="N75" s="68"/>
    </row>
    <row r="76" spans="1:14">
      <c r="A76" s="14" t="s">
        <v>76</v>
      </c>
      <c r="C76" s="27">
        <f>SUM(C82:C88)</f>
        <v>622400</v>
      </c>
      <c r="D76" s="27">
        <f>SUM(D82:D86)</f>
        <v>762340</v>
      </c>
      <c r="E76" s="27"/>
      <c r="F76" s="27"/>
      <c r="G76" s="27"/>
      <c r="H76" s="27"/>
      <c r="I76" s="27"/>
      <c r="L76" s="28" t="e">
        <f>#REF!+#REF!</f>
        <v>#REF!</v>
      </c>
      <c r="M76" s="28"/>
      <c r="N76" s="28"/>
    </row>
    <row r="77" spans="1:14">
      <c r="A77" s="219"/>
    </row>
    <row r="78" spans="1:14">
      <c r="A78" s="219"/>
    </row>
    <row r="79" spans="1:14">
      <c r="A79" s="219"/>
    </row>
    <row r="80" spans="1:14">
      <c r="A80" s="219"/>
    </row>
    <row r="81" spans="3:11">
      <c r="E81" s="14"/>
      <c r="F81" s="14"/>
      <c r="G81" s="14"/>
      <c r="H81" s="14"/>
      <c r="I81" s="14"/>
      <c r="J81" s="14"/>
      <c r="K81" s="14"/>
    </row>
    <row r="82" spans="3:11">
      <c r="C82" s="15">
        <v>10000</v>
      </c>
      <c r="D82" s="15">
        <v>495850</v>
      </c>
      <c r="E82" s="14"/>
      <c r="F82" s="14"/>
      <c r="G82" s="14"/>
      <c r="H82" s="14"/>
      <c r="I82" s="14"/>
      <c r="J82" s="14"/>
      <c r="K82" s="14"/>
    </row>
    <row r="83" spans="3:11">
      <c r="C83" s="15">
        <v>440000</v>
      </c>
      <c r="D83" s="15">
        <v>108100</v>
      </c>
      <c r="E83" s="14"/>
      <c r="F83" s="14"/>
      <c r="G83" s="14"/>
      <c r="H83" s="14"/>
      <c r="I83" s="14"/>
      <c r="J83" s="14"/>
      <c r="K83" s="14"/>
    </row>
    <row r="84" spans="3:11">
      <c r="C84" s="15">
        <v>60000</v>
      </c>
      <c r="D84" s="15">
        <v>2350</v>
      </c>
      <c r="E84" s="14"/>
      <c r="F84" s="14"/>
      <c r="G84" s="14"/>
      <c r="H84" s="14"/>
      <c r="I84" s="14"/>
      <c r="J84" s="14"/>
      <c r="K84" s="14"/>
    </row>
    <row r="85" spans="3:11">
      <c r="C85" s="15">
        <v>41400</v>
      </c>
      <c r="D85" s="15">
        <v>150400</v>
      </c>
      <c r="E85" s="14"/>
      <c r="F85" s="14"/>
      <c r="G85" s="14"/>
      <c r="H85" s="14"/>
      <c r="I85" s="14"/>
      <c r="J85" s="14"/>
      <c r="K85" s="14"/>
    </row>
    <row r="86" spans="3:11">
      <c r="C86" s="15">
        <v>15000</v>
      </c>
      <c r="D86" s="15">
        <v>5640</v>
      </c>
      <c r="E86" s="14"/>
      <c r="F86" s="14"/>
      <c r="G86" s="14"/>
      <c r="H86" s="14"/>
      <c r="I86" s="14"/>
      <c r="J86" s="14"/>
      <c r="K86" s="14"/>
    </row>
    <row r="87" spans="3:11">
      <c r="C87" s="15">
        <v>5000</v>
      </c>
      <c r="E87" s="14"/>
      <c r="F87" s="14"/>
      <c r="G87" s="14"/>
      <c r="H87" s="14"/>
      <c r="I87" s="14"/>
      <c r="J87" s="14"/>
      <c r="K87" s="14"/>
    </row>
    <row r="88" spans="3:11">
      <c r="C88" s="15">
        <v>51000</v>
      </c>
      <c r="E88" s="14"/>
      <c r="F88" s="14"/>
      <c r="G88" s="14"/>
      <c r="H88" s="14"/>
      <c r="I88" s="14"/>
      <c r="J88" s="14"/>
      <c r="K88" s="14"/>
    </row>
    <row r="89" spans="3:11">
      <c r="E89" s="14"/>
      <c r="F89" s="14"/>
      <c r="G89" s="14"/>
      <c r="H89" s="14"/>
      <c r="I89" s="14"/>
      <c r="J89" s="14"/>
      <c r="K89" s="14"/>
    </row>
    <row r="91" spans="3:11">
      <c r="E91" s="14"/>
      <c r="F91" s="14"/>
      <c r="G91" s="14"/>
      <c r="H91" s="14"/>
      <c r="I91" s="14"/>
      <c r="J91" s="14"/>
      <c r="K91" s="14"/>
    </row>
    <row r="92" spans="3:11">
      <c r="E92" s="14"/>
      <c r="F92" s="14"/>
      <c r="G92" s="14"/>
      <c r="H92" s="14"/>
      <c r="I92" s="14"/>
      <c r="J92" s="14"/>
      <c r="K92" s="14"/>
    </row>
    <row r="93" spans="3:11">
      <c r="E93" s="14"/>
      <c r="F93" s="14"/>
      <c r="G93" s="14"/>
      <c r="H93" s="14"/>
      <c r="I93" s="14"/>
      <c r="J93" s="14"/>
      <c r="K93" s="14"/>
    </row>
    <row r="94" spans="3:11">
      <c r="E94" s="14"/>
      <c r="F94" s="14"/>
      <c r="G94" s="14"/>
      <c r="H94" s="14"/>
      <c r="I94" s="14"/>
      <c r="J94" s="14"/>
      <c r="K94" s="14"/>
    </row>
    <row r="95" spans="3:11">
      <c r="E95" s="14"/>
      <c r="F95" s="14"/>
      <c r="G95" s="14"/>
      <c r="H95" s="14"/>
      <c r="I95" s="14"/>
      <c r="J95" s="14"/>
      <c r="K95" s="14"/>
    </row>
    <row r="96" spans="3:11">
      <c r="E96" s="14"/>
      <c r="F96" s="14"/>
      <c r="G96" s="14"/>
      <c r="H96" s="14"/>
      <c r="I96" s="14"/>
      <c r="J96" s="14"/>
      <c r="K96" s="14"/>
    </row>
    <row r="97" spans="3:11">
      <c r="C97" s="14"/>
      <c r="D97" s="14"/>
      <c r="E97" s="14"/>
      <c r="F97" s="14"/>
      <c r="G97" s="14"/>
      <c r="H97" s="14"/>
      <c r="I97" s="14"/>
      <c r="J97" s="14"/>
      <c r="K97" s="14"/>
    </row>
  </sheetData>
  <mergeCells count="12">
    <mergeCell ref="A77:A80"/>
    <mergeCell ref="B4:N4"/>
    <mergeCell ref="A6:A7"/>
    <mergeCell ref="B6:B7"/>
    <mergeCell ref="C6:D6"/>
    <mergeCell ref="L6:N6"/>
    <mergeCell ref="E6:K6"/>
    <mergeCell ref="A1:B1"/>
    <mergeCell ref="A2:B2"/>
    <mergeCell ref="A3:B3"/>
    <mergeCell ref="C1:L1"/>
    <mergeCell ref="C2:L2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70"/>
  <sheetViews>
    <sheetView topLeftCell="C9" workbookViewId="0">
      <selection activeCell="I13" sqref="I13"/>
    </sheetView>
  </sheetViews>
  <sheetFormatPr defaultRowHeight="15.6"/>
  <cols>
    <col min="1" max="1" width="5.8984375" style="170" customWidth="1"/>
    <col min="2" max="2" width="43.69921875" style="170" customWidth="1"/>
    <col min="3" max="3" width="19.19921875" style="81" customWidth="1"/>
    <col min="4" max="4" width="17" style="170" customWidth="1"/>
    <col min="5" max="5" width="17.09765625" style="170" customWidth="1"/>
    <col min="6" max="6" width="7.19921875" style="170" customWidth="1"/>
    <col min="7" max="7" width="8.09765625" style="204" customWidth="1"/>
    <col min="8" max="8" width="7.09765625" style="171" customWidth="1"/>
    <col min="9" max="9" width="18.09765625" style="170" customWidth="1"/>
    <col min="10" max="10" width="7.59765625" style="177" customWidth="1"/>
    <col min="11" max="11" width="7.69921875" style="170" customWidth="1"/>
    <col min="12" max="12" width="7" style="169" customWidth="1"/>
    <col min="13" max="13" width="20.3984375" style="170" customWidth="1"/>
    <col min="14" max="16384" width="8.796875" style="170"/>
  </cols>
  <sheetData>
    <row r="1" spans="1:13" ht="22.5" customHeight="1">
      <c r="A1" s="242" t="s">
        <v>28</v>
      </c>
      <c r="B1" s="242"/>
      <c r="C1" s="178"/>
      <c r="D1" s="218" t="s">
        <v>12</v>
      </c>
      <c r="E1" s="218"/>
      <c r="F1" s="218"/>
      <c r="G1" s="218"/>
      <c r="H1" s="218"/>
      <c r="I1" s="218"/>
      <c r="J1" s="218"/>
      <c r="K1" s="218"/>
    </row>
    <row r="2" spans="1:13" ht="20.25" customHeight="1">
      <c r="A2" s="243" t="s">
        <v>29</v>
      </c>
      <c r="B2" s="243"/>
      <c r="C2" s="179"/>
      <c r="D2" s="244" t="s">
        <v>50</v>
      </c>
      <c r="E2" s="244"/>
      <c r="F2" s="244"/>
      <c r="G2" s="244"/>
      <c r="H2" s="244"/>
      <c r="I2" s="244"/>
      <c r="J2" s="244"/>
      <c r="K2" s="244"/>
    </row>
    <row r="3" spans="1:13" ht="17.25" customHeight="1">
      <c r="G3" s="171"/>
      <c r="J3" s="171"/>
    </row>
    <row r="4" spans="1:13" ht="28.5" customHeight="1">
      <c r="A4" s="241" t="s">
        <v>171</v>
      </c>
      <c r="B4" s="241"/>
      <c r="C4" s="241"/>
      <c r="D4" s="241"/>
      <c r="E4" s="241"/>
      <c r="F4" s="241"/>
      <c r="G4" s="241"/>
      <c r="H4" s="241"/>
      <c r="I4" s="241"/>
      <c r="J4" s="241"/>
      <c r="K4" s="241"/>
    </row>
    <row r="5" spans="1:13" ht="16.5" customHeight="1">
      <c r="A5" s="241"/>
      <c r="B5" s="241"/>
      <c r="C5" s="241"/>
      <c r="D5" s="241"/>
      <c r="G5" s="171"/>
      <c r="I5" s="81"/>
      <c r="J5" s="172"/>
      <c r="M5" s="175"/>
    </row>
    <row r="6" spans="1:13" ht="22.5" customHeight="1">
      <c r="D6" s="175"/>
      <c r="E6" s="175"/>
      <c r="G6" s="180"/>
      <c r="I6" s="173"/>
      <c r="J6" s="174"/>
    </row>
    <row r="7" spans="1:13" ht="26.25" customHeight="1">
      <c r="A7" s="230" t="s">
        <v>0</v>
      </c>
      <c r="B7" s="232" t="s">
        <v>77</v>
      </c>
      <c r="C7" s="234" t="s">
        <v>143</v>
      </c>
      <c r="D7" s="236" t="s">
        <v>144</v>
      </c>
      <c r="E7" s="236" t="s">
        <v>172</v>
      </c>
      <c r="F7" s="236" t="s">
        <v>78</v>
      </c>
      <c r="G7" s="238" t="s">
        <v>145</v>
      </c>
      <c r="H7" s="228" t="s">
        <v>148</v>
      </c>
      <c r="I7" s="236" t="s">
        <v>165</v>
      </c>
      <c r="J7" s="239" t="s">
        <v>78</v>
      </c>
      <c r="K7" s="236" t="s">
        <v>145</v>
      </c>
      <c r="L7" s="228" t="s">
        <v>148</v>
      </c>
    </row>
    <row r="8" spans="1:13" ht="43.5" customHeight="1">
      <c r="A8" s="231"/>
      <c r="B8" s="233"/>
      <c r="C8" s="235"/>
      <c r="D8" s="237"/>
      <c r="E8" s="237"/>
      <c r="F8" s="237"/>
      <c r="G8" s="238"/>
      <c r="H8" s="229"/>
      <c r="I8" s="237"/>
      <c r="J8" s="240"/>
      <c r="K8" s="237"/>
      <c r="L8" s="229"/>
    </row>
    <row r="9" spans="1:13" ht="30" customHeight="1">
      <c r="A9" s="181"/>
      <c r="B9" s="182" t="s">
        <v>79</v>
      </c>
      <c r="C9" s="93">
        <f>3161055000000+C55</f>
        <v>3326699000000</v>
      </c>
      <c r="D9" s="93">
        <f>D10+D52+D55</f>
        <v>3553277000000</v>
      </c>
      <c r="E9" s="93">
        <f>E10+E52+E56</f>
        <v>1226274676357</v>
      </c>
      <c r="F9" s="136">
        <f t="shared" ref="F9:F18" si="0">E9/C9*100%</f>
        <v>0.3686160594502238</v>
      </c>
      <c r="G9" s="137">
        <f t="shared" ref="G9:G32" si="1">E9/D9*100%</f>
        <v>0.34511091489827561</v>
      </c>
      <c r="H9" s="78">
        <f>E9/1324206027917</f>
        <v>0.92604523050386067</v>
      </c>
      <c r="I9" s="93">
        <f>I10+I52+I56</f>
        <v>3154175218913</v>
      </c>
      <c r="J9" s="29">
        <f t="shared" ref="J9:J15" si="2">I9/C9*100%</f>
        <v>0.94813964801534489</v>
      </c>
      <c r="K9" s="29">
        <f t="shared" ref="K9:K31" si="3">I9/D9*100%</f>
        <v>0.88768064491256948</v>
      </c>
      <c r="L9" s="29">
        <f>I9/3127587387532</f>
        <v>1.0085010674640111</v>
      </c>
    </row>
    <row r="10" spans="1:13" s="185" customFormat="1" ht="26.25" customHeight="1">
      <c r="A10" s="183" t="s">
        <v>1</v>
      </c>
      <c r="B10" s="184" t="s">
        <v>80</v>
      </c>
      <c r="C10" s="30">
        <v>3161055000000</v>
      </c>
      <c r="D10" s="30">
        <f>D12+D18+D46+D48</f>
        <v>3553277000000</v>
      </c>
      <c r="E10" s="30">
        <f>E11+E18+E45+E46</f>
        <v>1163297512543</v>
      </c>
      <c r="F10" s="80">
        <f t="shared" si="0"/>
        <v>0.36800926037130011</v>
      </c>
      <c r="G10" s="137">
        <f t="shared" si="1"/>
        <v>0.32738722946254967</v>
      </c>
      <c r="H10" s="78">
        <f>E10/1275279526813</f>
        <v>0.91219022032773489</v>
      </c>
      <c r="I10" s="30">
        <f>I11+I18+I45+I46</f>
        <v>3002903626896</v>
      </c>
      <c r="J10" s="29">
        <f t="shared" si="2"/>
        <v>0.9499688005732263</v>
      </c>
      <c r="K10" s="29">
        <f t="shared" si="3"/>
        <v>0.8451082273900965</v>
      </c>
      <c r="L10" s="97">
        <f>I10/2932804241104</f>
        <v>1.0239018291127444</v>
      </c>
    </row>
    <row r="11" spans="1:13" ht="26.25" hidden="1" customHeight="1">
      <c r="A11" s="181" t="s">
        <v>5</v>
      </c>
      <c r="B11" s="181" t="s">
        <v>81</v>
      </c>
      <c r="C11" s="138">
        <v>600867000000</v>
      </c>
      <c r="D11" s="31">
        <f>D12</f>
        <v>591479000000</v>
      </c>
      <c r="E11" s="93">
        <f>E12</f>
        <v>357617000000</v>
      </c>
      <c r="F11" s="127">
        <f t="shared" si="0"/>
        <v>0.59516831511798785</v>
      </c>
      <c r="G11" s="139">
        <f t="shared" si="1"/>
        <v>0.60461487221017141</v>
      </c>
      <c r="H11" s="78"/>
      <c r="I11" s="98">
        <f>I12+I17</f>
        <v>555648000000</v>
      </c>
      <c r="J11" s="78">
        <f t="shared" si="2"/>
        <v>0.9247437452880588</v>
      </c>
      <c r="K11" s="29">
        <f t="shared" si="3"/>
        <v>0.93942134885600337</v>
      </c>
      <c r="L11" s="146"/>
      <c r="M11" s="175"/>
    </row>
    <row r="12" spans="1:13" ht="26.25" customHeight="1">
      <c r="A12" s="186">
        <v>1</v>
      </c>
      <c r="B12" s="99" t="s">
        <v>82</v>
      </c>
      <c r="C12" s="92">
        <v>600867000000</v>
      </c>
      <c r="D12" s="94">
        <f t="shared" ref="D12" si="4">SUM(D13:D15)</f>
        <v>591479000000</v>
      </c>
      <c r="E12" s="92">
        <f>SUM(E13:E16)</f>
        <v>357617000000</v>
      </c>
      <c r="F12" s="29">
        <f t="shared" si="0"/>
        <v>0.59516831511798785</v>
      </c>
      <c r="G12" s="29">
        <f t="shared" si="1"/>
        <v>0.60461487221017141</v>
      </c>
      <c r="H12" s="29">
        <f>E12/515619000000</f>
        <v>0.69356831303733957</v>
      </c>
      <c r="I12" s="168">
        <f>SUM(I13:I16)</f>
        <v>555648000000</v>
      </c>
      <c r="J12" s="29">
        <f t="shared" si="2"/>
        <v>0.9247437452880588</v>
      </c>
      <c r="K12" s="29">
        <f t="shared" si="3"/>
        <v>0.93942134885600337</v>
      </c>
      <c r="L12" s="145">
        <f>I12/777775000000</f>
        <v>0.71440712288258168</v>
      </c>
    </row>
    <row r="13" spans="1:13" ht="26.25" customHeight="1">
      <c r="A13" s="187"/>
      <c r="B13" s="100" t="s">
        <v>83</v>
      </c>
      <c r="C13" s="101">
        <v>239257000000</v>
      </c>
      <c r="D13" s="131">
        <v>239257000000</v>
      </c>
      <c r="E13" s="36">
        <f>209593000000-73203000000</f>
        <v>136390000000</v>
      </c>
      <c r="F13" s="79">
        <f t="shared" si="0"/>
        <v>0.57005646647746988</v>
      </c>
      <c r="G13" s="79">
        <f t="shared" si="1"/>
        <v>0.57005646647746988</v>
      </c>
      <c r="H13" s="79">
        <f>E13/165325000000</f>
        <v>0.82498109783759266</v>
      </c>
      <c r="I13" s="36">
        <v>209593000000</v>
      </c>
      <c r="J13" s="79">
        <f t="shared" si="2"/>
        <v>0.87601616671612537</v>
      </c>
      <c r="K13" s="102">
        <f t="shared" si="3"/>
        <v>0.87601616671612537</v>
      </c>
      <c r="L13" s="146">
        <f>I13/208747000000</f>
        <v>1.0040527528539331</v>
      </c>
      <c r="M13" s="175"/>
    </row>
    <row r="14" spans="1:13" ht="26.25" customHeight="1">
      <c r="A14" s="188"/>
      <c r="B14" s="103" t="s">
        <v>84</v>
      </c>
      <c r="C14" s="104">
        <v>270000000000</v>
      </c>
      <c r="D14" s="131">
        <v>260612000000</v>
      </c>
      <c r="E14" s="37">
        <f>258086000000-67170000000</f>
        <v>190916000000</v>
      </c>
      <c r="F14" s="80">
        <f t="shared" si="0"/>
        <v>0.70709629629629633</v>
      </c>
      <c r="G14" s="80">
        <f t="shared" si="1"/>
        <v>0.73256795542799258</v>
      </c>
      <c r="H14" s="80">
        <f>E14/179106000000</f>
        <v>1.0659386061885141</v>
      </c>
      <c r="I14" s="37">
        <v>258086000000</v>
      </c>
      <c r="J14" s="80">
        <f t="shared" si="2"/>
        <v>0.9558740740740741</v>
      </c>
      <c r="K14" s="29">
        <f t="shared" si="3"/>
        <v>0.99030743020275347</v>
      </c>
      <c r="L14" s="146">
        <f>I14/246364000000</f>
        <v>1.0475800035719505</v>
      </c>
      <c r="M14" s="81"/>
    </row>
    <row r="15" spans="1:13" ht="26.25" customHeight="1">
      <c r="A15" s="188"/>
      <c r="B15" s="103" t="s">
        <v>85</v>
      </c>
      <c r="C15" s="104">
        <v>91610000000</v>
      </c>
      <c r="D15" s="131">
        <v>91610000000</v>
      </c>
      <c r="E15" s="37">
        <f>87696000000-57385000000</f>
        <v>30311000000</v>
      </c>
      <c r="F15" s="80">
        <f t="shared" si="0"/>
        <v>0.33086999235891279</v>
      </c>
      <c r="G15" s="80">
        <f t="shared" si="1"/>
        <v>0.33086999235891279</v>
      </c>
      <c r="H15" s="80">
        <f>E15/73865000000</f>
        <v>0.41035673187571919</v>
      </c>
      <c r="I15" s="37">
        <v>87969000000</v>
      </c>
      <c r="J15" s="80">
        <f t="shared" si="2"/>
        <v>0.96025543062984386</v>
      </c>
      <c r="K15" s="29">
        <f t="shared" si="3"/>
        <v>0.96025543062984386</v>
      </c>
      <c r="L15" s="146">
        <f>I15/93613000000</f>
        <v>0.93970922841912985</v>
      </c>
      <c r="M15" s="189"/>
    </row>
    <row r="16" spans="1:13" ht="26.25" hidden="1" customHeight="1">
      <c r="A16" s="188"/>
      <c r="B16" s="105"/>
      <c r="C16" s="104"/>
      <c r="D16" s="33"/>
      <c r="E16" s="37"/>
      <c r="F16" s="80" t="e">
        <f t="shared" si="0"/>
        <v>#DIV/0!</v>
      </c>
      <c r="G16" s="80"/>
      <c r="H16" s="80"/>
      <c r="I16" s="37"/>
      <c r="J16" s="80"/>
      <c r="K16" s="29"/>
      <c r="L16" s="146"/>
      <c r="M16" s="189"/>
    </row>
    <row r="17" spans="1:13" ht="26.25" hidden="1" customHeight="1">
      <c r="A17" s="190">
        <v>1</v>
      </c>
      <c r="B17" s="106" t="s">
        <v>157</v>
      </c>
      <c r="C17" s="107">
        <v>2496888000000</v>
      </c>
      <c r="D17" s="34">
        <f>D18+D31</f>
        <v>2769178000000</v>
      </c>
      <c r="E17" s="109"/>
      <c r="F17" s="80">
        <f t="shared" si="0"/>
        <v>0</v>
      </c>
      <c r="G17" s="127">
        <f t="shared" si="1"/>
        <v>0</v>
      </c>
      <c r="H17" s="127"/>
      <c r="I17" s="109">
        <v>0</v>
      </c>
      <c r="J17" s="127">
        <f>I17/C17*100%</f>
        <v>0</v>
      </c>
      <c r="K17" s="29">
        <f t="shared" si="3"/>
        <v>0</v>
      </c>
      <c r="L17" s="145"/>
    </row>
    <row r="18" spans="1:13" ht="26.25" customHeight="1">
      <c r="A18" s="99" t="s">
        <v>8</v>
      </c>
      <c r="B18" s="99" t="s">
        <v>86</v>
      </c>
      <c r="C18" s="92">
        <v>2496888000000</v>
      </c>
      <c r="D18" s="34">
        <f>D19+D32</f>
        <v>2767214000000</v>
      </c>
      <c r="E18" s="34">
        <f>E19+E32</f>
        <v>805547657543</v>
      </c>
      <c r="F18" s="80">
        <f t="shared" si="0"/>
        <v>0.32262066121628202</v>
      </c>
      <c r="G18" s="29">
        <f t="shared" si="1"/>
        <v>0.29110421439866957</v>
      </c>
      <c r="H18" s="29">
        <f>E18/756201188808</f>
        <v>1.0652557407543684</v>
      </c>
      <c r="I18" s="30">
        <f t="shared" ref="I18" si="5">I19+I32</f>
        <v>2312496000106</v>
      </c>
      <c r="J18" s="29"/>
      <c r="K18" s="29">
        <f t="shared" si="3"/>
        <v>0.83567660473891792</v>
      </c>
      <c r="L18" s="97">
        <f>I18/2090806340800</f>
        <v>1.1060306997257219</v>
      </c>
      <c r="M18" s="27"/>
    </row>
    <row r="19" spans="1:13" ht="26.25" customHeight="1">
      <c r="A19" s="99" t="s">
        <v>87</v>
      </c>
      <c r="B19" s="99" t="s">
        <v>88</v>
      </c>
      <c r="C19" s="92"/>
      <c r="D19" s="34">
        <f>SUM(D20:D31)</f>
        <v>2399384000000</v>
      </c>
      <c r="E19" s="34">
        <f>SUM(E20:E30)</f>
        <v>714735964801</v>
      </c>
      <c r="F19" s="29"/>
      <c r="G19" s="29">
        <f t="shared" si="1"/>
        <v>0.29788310866497403</v>
      </c>
      <c r="H19" s="29">
        <f>E19/678864800697</f>
        <v>1.0528399234533452</v>
      </c>
      <c r="I19" s="30">
        <f t="shared" ref="I19" si="6">SUM(I20:I31)</f>
        <v>2005463352248</v>
      </c>
      <c r="J19" s="29"/>
      <c r="K19" s="29">
        <f t="shared" si="3"/>
        <v>0.83582425832963791</v>
      </c>
      <c r="L19" s="147">
        <f>I19/1833146667151</f>
        <v>1.0940004900779747</v>
      </c>
      <c r="M19" s="27"/>
    </row>
    <row r="20" spans="1:13" ht="26.25" customHeight="1">
      <c r="A20" s="191">
        <v>1</v>
      </c>
      <c r="B20" s="100" t="s">
        <v>89</v>
      </c>
      <c r="C20" s="101"/>
      <c r="D20" s="47">
        <v>20417000000</v>
      </c>
      <c r="E20" s="37">
        <f>19514491488-8542498625</f>
        <v>10971992863</v>
      </c>
      <c r="F20" s="79"/>
      <c r="G20" s="79">
        <f t="shared" si="1"/>
        <v>0.53739495827006911</v>
      </c>
      <c r="H20" s="79">
        <f>E20/4165582069</f>
        <v>2.6339639169884279</v>
      </c>
      <c r="I20" s="36">
        <v>19514491488</v>
      </c>
      <c r="J20" s="79"/>
      <c r="K20" s="29">
        <f t="shared" si="3"/>
        <v>0.95579622314737722</v>
      </c>
      <c r="L20" s="147">
        <f>I20/7666903545</f>
        <v>2.54528981269452</v>
      </c>
      <c r="M20" s="81"/>
    </row>
    <row r="21" spans="1:13" ht="26.25" customHeight="1">
      <c r="A21" s="192">
        <v>2</v>
      </c>
      <c r="B21" s="103" t="s">
        <v>24</v>
      </c>
      <c r="C21" s="104">
        <v>1166206000000</v>
      </c>
      <c r="D21" s="47">
        <v>28845000000</v>
      </c>
      <c r="E21" s="38">
        <f>27060417725-17654741673</f>
        <v>9405676052</v>
      </c>
      <c r="F21" s="80"/>
      <c r="G21" s="80">
        <f t="shared" si="1"/>
        <v>0.32607647952851448</v>
      </c>
      <c r="H21" s="80">
        <f>E21/3850906255</f>
        <v>2.4424578084152819</v>
      </c>
      <c r="I21" s="37">
        <v>27060417725</v>
      </c>
      <c r="J21" s="80"/>
      <c r="K21" s="29">
        <f t="shared" si="3"/>
        <v>0.93813200641358985</v>
      </c>
      <c r="L21" s="147">
        <f>I21/17503015944</f>
        <v>1.5460431397410832</v>
      </c>
      <c r="M21" s="81"/>
    </row>
    <row r="22" spans="1:13" ht="26.25" customHeight="1">
      <c r="A22" s="192">
        <v>3</v>
      </c>
      <c r="B22" s="41" t="s">
        <v>90</v>
      </c>
      <c r="C22" s="110"/>
      <c r="D22" s="47">
        <v>1341855000000</v>
      </c>
      <c r="E22" s="38">
        <f>1338995647081-908216997199</f>
        <v>430778649882</v>
      </c>
      <c r="F22" s="80"/>
      <c r="G22" s="80">
        <f t="shared" si="1"/>
        <v>0.32103219042444975</v>
      </c>
      <c r="H22" s="80">
        <f>E22/316648674596</f>
        <v>1.3604309268990755</v>
      </c>
      <c r="I22" s="38">
        <v>1338995647081</v>
      </c>
      <c r="J22" s="80"/>
      <c r="K22" s="29">
        <f t="shared" si="3"/>
        <v>0.99786910439727095</v>
      </c>
      <c r="L22" s="147">
        <f>I22/1055734522697</f>
        <v>1.2683071532608174</v>
      </c>
      <c r="M22" s="81"/>
    </row>
    <row r="23" spans="1:13" ht="26.25" customHeight="1">
      <c r="A23" s="192">
        <v>4</v>
      </c>
      <c r="B23" s="41" t="s">
        <v>91</v>
      </c>
      <c r="C23" s="110"/>
      <c r="D23" s="47">
        <v>71225000000</v>
      </c>
      <c r="E23" s="38">
        <f>64492827010-8034529700</f>
        <v>56458297310</v>
      </c>
      <c r="F23" s="80"/>
      <c r="G23" s="80">
        <f t="shared" si="1"/>
        <v>0.79267528690768696</v>
      </c>
      <c r="H23" s="80">
        <f>E23/46404124480</f>
        <v>1.2166654999456634</v>
      </c>
      <c r="I23" s="38">
        <v>64492827010</v>
      </c>
      <c r="J23" s="80"/>
      <c r="K23" s="29">
        <f t="shared" si="3"/>
        <v>0.90548019670059665</v>
      </c>
      <c r="L23" s="147">
        <f>I23/54086849585</f>
        <v>1.1923938536787306</v>
      </c>
      <c r="M23" s="81"/>
    </row>
    <row r="24" spans="1:13" ht="26.25" customHeight="1">
      <c r="A24" s="192">
        <v>5</v>
      </c>
      <c r="B24" s="41" t="s">
        <v>92</v>
      </c>
      <c r="C24" s="110"/>
      <c r="D24" s="47">
        <v>35490000000</v>
      </c>
      <c r="E24" s="38">
        <f>23823179828-19513134856</f>
        <v>4310044972</v>
      </c>
      <c r="F24" s="80"/>
      <c r="G24" s="80">
        <f t="shared" si="1"/>
        <v>0.12144392707805016</v>
      </c>
      <c r="H24" s="80">
        <f>E24/15551267785</f>
        <v>0.27715071411459202</v>
      </c>
      <c r="I24" s="38">
        <v>23823179828</v>
      </c>
      <c r="J24" s="80"/>
      <c r="K24" s="29">
        <f t="shared" si="3"/>
        <v>0.67126457672583828</v>
      </c>
      <c r="L24" s="147">
        <f>I24/30910502803</f>
        <v>0.77071473019480796</v>
      </c>
      <c r="M24" s="81"/>
    </row>
    <row r="25" spans="1:13" ht="26.25" customHeight="1">
      <c r="A25" s="192">
        <v>6</v>
      </c>
      <c r="B25" s="41" t="s">
        <v>93</v>
      </c>
      <c r="C25" s="110"/>
      <c r="D25" s="47">
        <v>2337000000</v>
      </c>
      <c r="E25" s="38">
        <f>1389937505-885690894</f>
        <v>504246611</v>
      </c>
      <c r="F25" s="80"/>
      <c r="G25" s="80">
        <f t="shared" si="1"/>
        <v>0.21576662858365425</v>
      </c>
      <c r="H25" s="80">
        <f>E25/380318730</f>
        <v>1.3258526894008087</v>
      </c>
      <c r="I25" s="38">
        <v>1389937505</v>
      </c>
      <c r="J25" s="80"/>
      <c r="K25" s="29">
        <f t="shared" si="3"/>
        <v>0.59475289045785196</v>
      </c>
      <c r="L25" s="147">
        <f>I25/1302245933</f>
        <v>1.067338718269585</v>
      </c>
      <c r="M25" s="81"/>
    </row>
    <row r="26" spans="1:13" ht="26.25" customHeight="1">
      <c r="A26" s="192">
        <v>7</v>
      </c>
      <c r="B26" s="41" t="s">
        <v>94</v>
      </c>
      <c r="C26" s="110">
        <v>335205000000</v>
      </c>
      <c r="D26" s="47">
        <v>3583000000</v>
      </c>
      <c r="E26" s="38">
        <f>2310481694-2091925060</f>
        <v>218556634</v>
      </c>
      <c r="F26" s="80"/>
      <c r="G26" s="80">
        <f t="shared" si="1"/>
        <v>6.0998223276583871E-2</v>
      </c>
      <c r="H26" s="80">
        <f>E26/769519467</f>
        <v>0.28401703059189792</v>
      </c>
      <c r="I26" s="38">
        <v>2310481694</v>
      </c>
      <c r="J26" s="80"/>
      <c r="K26" s="29">
        <f t="shared" si="3"/>
        <v>0.64484557465810777</v>
      </c>
      <c r="L26" s="147">
        <f>I26/2291168236</f>
        <v>1.0084295241600059</v>
      </c>
      <c r="M26" s="81"/>
    </row>
    <row r="27" spans="1:13" ht="26.25" customHeight="1">
      <c r="A27" s="192">
        <v>8</v>
      </c>
      <c r="B27" s="41" t="s">
        <v>95</v>
      </c>
      <c r="C27" s="110"/>
      <c r="D27" s="47">
        <v>333995000000</v>
      </c>
      <c r="E27" s="38">
        <f>168097697710-85048649305</f>
        <v>83049048405</v>
      </c>
      <c r="F27" s="80"/>
      <c r="G27" s="80">
        <f t="shared" si="1"/>
        <v>0.24865356788275272</v>
      </c>
      <c r="H27" s="80">
        <f>E27/135334541263</f>
        <v>0.61365744199485694</v>
      </c>
      <c r="I27" s="38">
        <v>168097697710</v>
      </c>
      <c r="J27" s="80"/>
      <c r="K27" s="29">
        <f t="shared" si="3"/>
        <v>0.50329405443195252</v>
      </c>
      <c r="L27" s="147">
        <f>I27/225748497763</f>
        <v>0.74462377103601296</v>
      </c>
      <c r="M27" s="81"/>
    </row>
    <row r="28" spans="1:13" ht="26.25" customHeight="1">
      <c r="A28" s="192">
        <v>9</v>
      </c>
      <c r="B28" s="41" t="s">
        <v>96</v>
      </c>
      <c r="C28" s="110"/>
      <c r="D28" s="47">
        <v>243869000000</v>
      </c>
      <c r="E28" s="38">
        <f>68909897737-17988640867</f>
        <v>50921256870</v>
      </c>
      <c r="F28" s="80"/>
      <c r="G28" s="80">
        <f t="shared" si="1"/>
        <v>0.20880578043949827</v>
      </c>
      <c r="H28" s="80">
        <f>E28/97320019917</f>
        <v>0.52323516696182881</v>
      </c>
      <c r="I28" s="38">
        <v>68909897737</v>
      </c>
      <c r="J28" s="80"/>
      <c r="K28" s="29">
        <f t="shared" si="3"/>
        <v>0.28256932097560578</v>
      </c>
      <c r="L28" s="147">
        <f>I28/161678615608</f>
        <v>0.42621528813727844</v>
      </c>
      <c r="M28" s="81"/>
    </row>
    <row r="29" spans="1:13" ht="26.25" customHeight="1">
      <c r="A29" s="192">
        <v>10</v>
      </c>
      <c r="B29" s="41" t="s">
        <v>146</v>
      </c>
      <c r="C29" s="110"/>
      <c r="D29" s="47">
        <v>127343000000</v>
      </c>
      <c r="E29" s="38">
        <f>98225781714-77369047716</f>
        <v>20856733998</v>
      </c>
      <c r="F29" s="80"/>
      <c r="G29" s="80">
        <f t="shared" si="1"/>
        <v>0.16378390644165758</v>
      </c>
      <c r="H29" s="80">
        <f>E29/20018915537</f>
        <v>1.0418513410205212</v>
      </c>
      <c r="I29" s="38">
        <v>98225781714</v>
      </c>
      <c r="J29" s="80"/>
      <c r="K29" s="29">
        <f t="shared" si="3"/>
        <v>0.77134810483497329</v>
      </c>
      <c r="L29" s="147">
        <f>I29/80573887875</f>
        <v>1.2190771018321052</v>
      </c>
      <c r="M29" s="81"/>
    </row>
    <row r="30" spans="1:13" ht="26.25" customHeight="1">
      <c r="A30" s="192">
        <v>11</v>
      </c>
      <c r="B30" s="41" t="s">
        <v>97</v>
      </c>
      <c r="C30" s="110"/>
      <c r="D30" s="47">
        <v>188461000000</v>
      </c>
      <c r="E30" s="38">
        <f>191611134956-144349673752</f>
        <v>47261461204</v>
      </c>
      <c r="F30" s="80"/>
      <c r="G30" s="80">
        <f t="shared" si="1"/>
        <v>0.25077581676845606</v>
      </c>
      <c r="H30" s="80">
        <f>E30/38272589598</f>
        <v>1.234864473515263</v>
      </c>
      <c r="I30" s="38">
        <v>191611134956</v>
      </c>
      <c r="J30" s="80"/>
      <c r="K30" s="29">
        <f t="shared" si="3"/>
        <v>1.0167150495646313</v>
      </c>
      <c r="L30" s="146">
        <f>I30/195207717362</f>
        <v>0.98157561363554924</v>
      </c>
      <c r="M30" s="81"/>
    </row>
    <row r="31" spans="1:13" ht="26.25" customHeight="1">
      <c r="A31" s="193">
        <v>12</v>
      </c>
      <c r="B31" s="111" t="s">
        <v>98</v>
      </c>
      <c r="C31" s="112"/>
      <c r="D31" s="35">
        <v>1964000000</v>
      </c>
      <c r="E31" s="35">
        <f>1031857800-890812800</f>
        <v>141045000</v>
      </c>
      <c r="F31" s="127"/>
      <c r="G31" s="127">
        <f t="shared" si="1"/>
        <v>7.1815173116089606E-2</v>
      </c>
      <c r="H31" s="127">
        <f>E31/148341000</f>
        <v>0.95081602523914499</v>
      </c>
      <c r="I31" s="113">
        <v>1031857800</v>
      </c>
      <c r="J31" s="127"/>
      <c r="K31" s="29">
        <f t="shared" si="3"/>
        <v>0.52538584521384923</v>
      </c>
      <c r="L31" s="145">
        <f>I31/442739800</f>
        <v>2.3306190227307324</v>
      </c>
      <c r="M31" s="81"/>
    </row>
    <row r="32" spans="1:13" ht="26.25" customHeight="1">
      <c r="A32" s="114" t="s">
        <v>99</v>
      </c>
      <c r="B32" s="114" t="s">
        <v>100</v>
      </c>
      <c r="C32" s="115"/>
      <c r="D32" s="30">
        <f>D33+D34</f>
        <v>367830000000</v>
      </c>
      <c r="E32" s="39">
        <f>SUM(E33:E34)</f>
        <v>90811692742</v>
      </c>
      <c r="F32" s="29"/>
      <c r="G32" s="29">
        <f t="shared" si="1"/>
        <v>0.24688495430497784</v>
      </c>
      <c r="H32" s="29">
        <f>E32/77336388111</f>
        <v>1.174242746010572</v>
      </c>
      <c r="I32" s="39">
        <f>SUM(I33:I34)</f>
        <v>307032647858</v>
      </c>
      <c r="J32" s="29"/>
      <c r="K32" s="29">
        <f>I32/D32*100%</f>
        <v>0.83471344876165621</v>
      </c>
      <c r="L32" s="145">
        <f>I32/257659673649</f>
        <v>1.1916208831198745</v>
      </c>
      <c r="M32" s="27"/>
    </row>
    <row r="33" spans="1:13" ht="18.75" customHeight="1">
      <c r="A33" s="194">
        <v>1</v>
      </c>
      <c r="B33" s="116" t="s">
        <v>36</v>
      </c>
      <c r="C33" s="115"/>
      <c r="D33" s="35">
        <v>9388000000</v>
      </c>
      <c r="E33" s="35">
        <f>11363351718-7738910346</f>
        <v>3624441372</v>
      </c>
      <c r="F33" s="29"/>
      <c r="G33" s="29"/>
      <c r="H33" s="29">
        <f>E33/5150327635</f>
        <v>0.70373025346376827</v>
      </c>
      <c r="I33" s="35">
        <v>11363351718</v>
      </c>
      <c r="J33" s="29"/>
      <c r="K33" s="29">
        <v>0</v>
      </c>
      <c r="L33" s="145">
        <f>I33/9232589111</f>
        <v>1.2307871152265772</v>
      </c>
      <c r="M33" s="27"/>
    </row>
    <row r="34" spans="1:13">
      <c r="A34" s="195">
        <v>2</v>
      </c>
      <c r="B34" s="114" t="s">
        <v>25</v>
      </c>
      <c r="C34" s="115"/>
      <c r="D34" s="135">
        <f>SUM(D35:D44)</f>
        <v>358442000000</v>
      </c>
      <c r="E34" s="30">
        <f t="shared" ref="E34" si="7">SUM(E35:E44)</f>
        <v>87187251370</v>
      </c>
      <c r="F34" s="29"/>
      <c r="G34" s="29">
        <f t="shared" ref="G34:G39" si="8">E34/D34*100%</f>
        <v>0.24323949584591092</v>
      </c>
      <c r="H34" s="29">
        <f>E34/72186060476</f>
        <v>1.2078128491163125</v>
      </c>
      <c r="I34" s="30">
        <f t="shared" ref="I34" si="9">SUM(I35:I44)</f>
        <v>295669296140</v>
      </c>
      <c r="J34" s="29"/>
      <c r="K34" s="29">
        <f t="shared" ref="K34:K39" si="10">I34/D34*100%</f>
        <v>0.82487346945949414</v>
      </c>
      <c r="L34" s="145">
        <f>I34/248427084538</f>
        <v>1.190165302184568</v>
      </c>
      <c r="M34" s="27"/>
    </row>
    <row r="35" spans="1:13">
      <c r="A35" s="191" t="s">
        <v>101</v>
      </c>
      <c r="B35" s="100" t="s">
        <v>89</v>
      </c>
      <c r="C35" s="117"/>
      <c r="D35" s="132">
        <v>35153000000</v>
      </c>
      <c r="E35" s="42">
        <f>24673240477-17869476743</f>
        <v>6803763734</v>
      </c>
      <c r="F35" s="79"/>
      <c r="G35" s="79">
        <f t="shared" si="8"/>
        <v>0.1935471719056695</v>
      </c>
      <c r="H35" s="79">
        <f>E35/7553997963</f>
        <v>0.90068381899562344</v>
      </c>
      <c r="I35" s="42">
        <v>24673240477</v>
      </c>
      <c r="J35" s="79"/>
      <c r="K35" s="102">
        <f t="shared" si="10"/>
        <v>0.70188150305806052</v>
      </c>
      <c r="L35" s="147">
        <f>I35/21272232430</f>
        <v>1.1598801657602986</v>
      </c>
      <c r="M35" s="81"/>
    </row>
    <row r="36" spans="1:13">
      <c r="A36" s="192" t="s">
        <v>102</v>
      </c>
      <c r="B36" s="103" t="s">
        <v>24</v>
      </c>
      <c r="C36" s="118"/>
      <c r="D36" s="133">
        <v>51547000000</v>
      </c>
      <c r="E36" s="38">
        <f>42488180285-33023118631</f>
        <v>9465061654</v>
      </c>
      <c r="F36" s="80"/>
      <c r="G36" s="80">
        <f t="shared" si="8"/>
        <v>0.18362002937125341</v>
      </c>
      <c r="H36" s="80">
        <f>E36/10628358536</f>
        <v>0.89054783219255151</v>
      </c>
      <c r="I36" s="38">
        <v>42488180285</v>
      </c>
      <c r="J36" s="80"/>
      <c r="K36" s="29">
        <f t="shared" si="10"/>
        <v>0.82426097124953923</v>
      </c>
      <c r="L36" s="147">
        <f>I36/42225468394</f>
        <v>1.0062216453953494</v>
      </c>
      <c r="M36" s="81"/>
    </row>
    <row r="37" spans="1:13">
      <c r="A37" s="192" t="s">
        <v>103</v>
      </c>
      <c r="B37" s="41" t="s">
        <v>92</v>
      </c>
      <c r="C37" s="118"/>
      <c r="D37" s="133">
        <v>1212000000</v>
      </c>
      <c r="E37" s="38">
        <f>920153554-802124374</f>
        <v>118029180</v>
      </c>
      <c r="F37" s="80"/>
      <c r="G37" s="80">
        <f t="shared" si="8"/>
        <v>9.7383811881188123E-2</v>
      </c>
      <c r="H37" s="80">
        <f>E37/182950274</f>
        <v>0.6451434994844556</v>
      </c>
      <c r="I37" s="38">
        <v>920153554</v>
      </c>
      <c r="J37" s="80"/>
      <c r="K37" s="29">
        <f t="shared" si="10"/>
        <v>0.75920260231023107</v>
      </c>
      <c r="L37" s="147">
        <f>I37/1022274123</f>
        <v>0.90010451531306146</v>
      </c>
      <c r="M37" s="81"/>
    </row>
    <row r="38" spans="1:13">
      <c r="A38" s="192" t="s">
        <v>104</v>
      </c>
      <c r="B38" s="41" t="s">
        <v>93</v>
      </c>
      <c r="C38" s="118"/>
      <c r="D38" s="133">
        <v>1004000000</v>
      </c>
      <c r="E38" s="38">
        <f>504331054-286763374</f>
        <v>217567680</v>
      </c>
      <c r="F38" s="80"/>
      <c r="G38" s="80">
        <f t="shared" si="8"/>
        <v>0.21670087649402389</v>
      </c>
      <c r="H38" s="80">
        <f>E38/208191209</f>
        <v>1.0450377854331014</v>
      </c>
      <c r="I38" s="38">
        <v>504331054</v>
      </c>
      <c r="J38" s="80"/>
      <c r="K38" s="29">
        <f t="shared" si="10"/>
        <v>0.50232176693227093</v>
      </c>
      <c r="L38" s="147">
        <f>I38/501664615</f>
        <v>1.0053151825348494</v>
      </c>
      <c r="M38" s="81"/>
    </row>
    <row r="39" spans="1:13">
      <c r="A39" s="192" t="s">
        <v>105</v>
      </c>
      <c r="B39" s="41" t="s">
        <v>94</v>
      </c>
      <c r="C39" s="118"/>
      <c r="D39" s="133">
        <v>1146000000</v>
      </c>
      <c r="E39" s="38">
        <f>611385587-520892530</f>
        <v>90493057</v>
      </c>
      <c r="F39" s="80"/>
      <c r="G39" s="80">
        <f t="shared" si="8"/>
        <v>7.8964273123909245E-2</v>
      </c>
      <c r="H39" s="80">
        <f>E39/205552512</f>
        <v>0.44024301196572097</v>
      </c>
      <c r="I39" s="38">
        <v>611385587</v>
      </c>
      <c r="J39" s="80"/>
      <c r="K39" s="29">
        <f t="shared" si="10"/>
        <v>0.53349527661431062</v>
      </c>
      <c r="L39" s="147">
        <f>I39/747119472</f>
        <v>0.81832372185850355</v>
      </c>
      <c r="M39" s="81"/>
    </row>
    <row r="40" spans="1:13">
      <c r="A40" s="192" t="s">
        <v>106</v>
      </c>
      <c r="B40" s="41" t="s">
        <v>95</v>
      </c>
      <c r="C40" s="118"/>
      <c r="D40" s="133">
        <v>0</v>
      </c>
      <c r="E40" s="38">
        <f>78551590-56940030</f>
        <v>21611560</v>
      </c>
      <c r="F40" s="80"/>
      <c r="G40" s="80"/>
      <c r="H40" s="80">
        <f>E40/106266508</f>
        <v>0.20337131996470609</v>
      </c>
      <c r="I40" s="38">
        <v>78551590</v>
      </c>
      <c r="J40" s="80"/>
      <c r="K40" s="29">
        <v>0</v>
      </c>
      <c r="L40" s="147">
        <f>I40/222569880</f>
        <v>0.35293001011637332</v>
      </c>
      <c r="M40" s="81"/>
    </row>
    <row r="41" spans="1:13">
      <c r="A41" s="192" t="s">
        <v>107</v>
      </c>
      <c r="B41" s="41" t="s">
        <v>96</v>
      </c>
      <c r="C41" s="118"/>
      <c r="D41" s="133">
        <v>3380000000</v>
      </c>
      <c r="E41" s="38">
        <f>1379847618-921046815</f>
        <v>458800803</v>
      </c>
      <c r="F41" s="80"/>
      <c r="G41" s="80">
        <f>E41/D41*100%</f>
        <v>0.13573988254437869</v>
      </c>
      <c r="H41" s="80">
        <f>E41/780719272</f>
        <v>0.58766424687413121</v>
      </c>
      <c r="I41" s="38">
        <v>1379847618</v>
      </c>
      <c r="J41" s="38"/>
      <c r="K41" s="29">
        <f>I41/D41*100%</f>
        <v>0.40823894023668639</v>
      </c>
      <c r="L41" s="147">
        <f>I41/1513095144</f>
        <v>0.9119371134535873</v>
      </c>
      <c r="M41" s="81"/>
    </row>
    <row r="42" spans="1:13">
      <c r="A42" s="192" t="s">
        <v>108</v>
      </c>
      <c r="B42" s="41" t="s">
        <v>109</v>
      </c>
      <c r="C42" s="118"/>
      <c r="D42" s="133">
        <v>228011000000</v>
      </c>
      <c r="E42" s="38">
        <f>196074445234-134055895656</f>
        <v>62018549578</v>
      </c>
      <c r="F42" s="80"/>
      <c r="G42" s="80">
        <f>E42/D42*100%</f>
        <v>0.27199805964624513</v>
      </c>
      <c r="H42" s="80">
        <f>E42/41755757407</f>
        <v>1.4852694198190526</v>
      </c>
      <c r="I42" s="38">
        <v>196074445234</v>
      </c>
      <c r="J42" s="38"/>
      <c r="K42" s="29">
        <f>I42/D42*100%</f>
        <v>0.85993414894018272</v>
      </c>
      <c r="L42" s="147">
        <f>I42/148390840583</f>
        <v>1.3213379239827741</v>
      </c>
      <c r="M42" s="81"/>
    </row>
    <row r="43" spans="1:13">
      <c r="A43" s="192" t="s">
        <v>110</v>
      </c>
      <c r="B43" s="41" t="s">
        <v>97</v>
      </c>
      <c r="C43" s="118"/>
      <c r="D43" s="133">
        <v>939000000</v>
      </c>
      <c r="E43" s="133">
        <f>425125132-282036116</f>
        <v>143089016</v>
      </c>
      <c r="F43" s="80"/>
      <c r="G43" s="80">
        <f>E43/D43*100%</f>
        <v>0.15238446858359958</v>
      </c>
      <c r="H43" s="80">
        <f>E43/95160294</f>
        <v>1.5036630298767257</v>
      </c>
      <c r="I43" s="38">
        <v>425125132</v>
      </c>
      <c r="J43" s="38"/>
      <c r="K43" s="29">
        <f>I43/D43*100%</f>
        <v>0.45274241959531414</v>
      </c>
      <c r="L43" s="146">
        <f>I43/562972807</f>
        <v>0.75514327994886621</v>
      </c>
      <c r="M43" s="81"/>
    </row>
    <row r="44" spans="1:13">
      <c r="A44" s="193" t="s">
        <v>111</v>
      </c>
      <c r="B44" s="111" t="s">
        <v>98</v>
      </c>
      <c r="C44" s="107"/>
      <c r="D44" s="134">
        <v>36050000000</v>
      </c>
      <c r="E44" s="113">
        <f>28514035609-20663750501</f>
        <v>7850285108</v>
      </c>
      <c r="F44" s="127"/>
      <c r="G44" s="127">
        <f>E44/D44*100%</f>
        <v>0.2177610293481276</v>
      </c>
      <c r="H44" s="127">
        <f>E44/10669106501</f>
        <v>0.73579592698453278</v>
      </c>
      <c r="I44" s="113">
        <v>28514035609</v>
      </c>
      <c r="J44" s="113"/>
      <c r="K44" s="29">
        <f>I44/D44*100%</f>
        <v>0.79095799192787797</v>
      </c>
      <c r="L44" s="145">
        <f>I44/31968847090</f>
        <v>0.89193193388319969</v>
      </c>
      <c r="M44" s="81"/>
    </row>
    <row r="45" spans="1:13" ht="27" customHeight="1">
      <c r="A45" s="114" t="s">
        <v>9</v>
      </c>
      <c r="B45" s="119" t="s">
        <v>158</v>
      </c>
      <c r="C45" s="115"/>
      <c r="D45" s="31"/>
      <c r="E45" s="30"/>
      <c r="F45" s="29"/>
      <c r="G45" s="29"/>
      <c r="H45" s="29"/>
      <c r="I45" s="30"/>
      <c r="J45" s="30"/>
      <c r="K45" s="29"/>
      <c r="L45" s="145"/>
      <c r="M45" s="81"/>
    </row>
    <row r="46" spans="1:13" ht="33" customHeight="1">
      <c r="A46" s="114" t="s">
        <v>11</v>
      </c>
      <c r="B46" s="119" t="s">
        <v>159</v>
      </c>
      <c r="C46" s="120"/>
      <c r="D46" s="30">
        <v>131284000000</v>
      </c>
      <c r="E46" s="30">
        <v>132855000</v>
      </c>
      <c r="F46" s="29"/>
      <c r="G46" s="29"/>
      <c r="H46" s="29">
        <f>E46/3459338005</f>
        <v>3.8404746748648515E-2</v>
      </c>
      <c r="I46" s="30">
        <v>134759626790</v>
      </c>
      <c r="J46" s="30"/>
      <c r="K46" s="29"/>
      <c r="L46" s="32">
        <f>I46/64222900304</f>
        <v>2.0983111343790677</v>
      </c>
      <c r="M46" s="81"/>
    </row>
    <row r="47" spans="1:13" s="185" customFormat="1">
      <c r="A47" s="196" t="s">
        <v>46</v>
      </c>
      <c r="B47" s="121" t="s">
        <v>147</v>
      </c>
      <c r="C47" s="122"/>
      <c r="D47" s="34"/>
      <c r="E47" s="34"/>
      <c r="F47" s="29"/>
      <c r="G47" s="29"/>
      <c r="H47" s="29"/>
      <c r="I47" s="30"/>
      <c r="J47" s="30"/>
      <c r="K47" s="29"/>
      <c r="L47" s="32"/>
    </row>
    <row r="48" spans="1:13" s="185" customFormat="1">
      <c r="A48" s="196" t="s">
        <v>138</v>
      </c>
      <c r="B48" s="114" t="s">
        <v>115</v>
      </c>
      <c r="C48" s="30">
        <v>63300000000</v>
      </c>
      <c r="D48" s="44">
        <f>D49+D50</f>
        <v>63300000000</v>
      </c>
      <c r="E48" s="30"/>
      <c r="F48" s="29"/>
      <c r="G48" s="29"/>
      <c r="H48" s="29"/>
      <c r="I48" s="30"/>
      <c r="J48" s="30"/>
      <c r="K48" s="29"/>
      <c r="L48" s="32"/>
    </row>
    <row r="49" spans="1:13" s="185" customFormat="1">
      <c r="A49" s="197"/>
      <c r="B49" s="101" t="s">
        <v>88</v>
      </c>
      <c r="C49" s="123"/>
      <c r="D49" s="43">
        <v>57105000000</v>
      </c>
      <c r="E49" s="124"/>
      <c r="F49" s="79"/>
      <c r="G49" s="79"/>
      <c r="H49" s="79"/>
      <c r="I49" s="123"/>
      <c r="J49" s="123"/>
      <c r="K49" s="29"/>
      <c r="L49" s="148"/>
    </row>
    <row r="50" spans="1:13" s="185" customFormat="1">
      <c r="A50" s="198"/>
      <c r="B50" s="125" t="s">
        <v>116</v>
      </c>
      <c r="C50" s="126"/>
      <c r="D50" s="140">
        <v>6195000000</v>
      </c>
      <c r="E50" s="45"/>
      <c r="F50" s="127"/>
      <c r="G50" s="127"/>
      <c r="H50" s="127"/>
      <c r="I50" s="126"/>
      <c r="J50" s="126"/>
      <c r="K50" s="29"/>
      <c r="L50" s="149"/>
    </row>
    <row r="51" spans="1:13" s="185" customFormat="1">
      <c r="A51" s="196" t="s">
        <v>140</v>
      </c>
      <c r="B51" s="114" t="s">
        <v>33</v>
      </c>
      <c r="C51" s="30"/>
      <c r="D51" s="34"/>
      <c r="E51" s="30"/>
      <c r="F51" s="29"/>
      <c r="G51" s="29"/>
      <c r="H51" s="29"/>
      <c r="I51" s="30"/>
      <c r="J51" s="30"/>
      <c r="K51" s="29"/>
      <c r="L51" s="32"/>
    </row>
    <row r="52" spans="1:13">
      <c r="A52" s="114" t="s">
        <v>2</v>
      </c>
      <c r="B52" s="114" t="s">
        <v>112</v>
      </c>
      <c r="C52" s="115">
        <v>0</v>
      </c>
      <c r="D52" s="141"/>
      <c r="E52" s="34">
        <f>E53</f>
        <v>62223806406</v>
      </c>
      <c r="F52" s="29"/>
      <c r="G52" s="29"/>
      <c r="H52" s="29">
        <f>E52/46774896363</f>
        <v>1.3302820795819108</v>
      </c>
      <c r="I52" s="34">
        <f>I53</f>
        <v>142269578406</v>
      </c>
      <c r="J52" s="34"/>
      <c r="K52" s="29"/>
      <c r="L52" s="32">
        <f>I52/106242717983</f>
        <v>1.3390995741351863</v>
      </c>
    </row>
    <row r="53" spans="1:13">
      <c r="A53" s="199"/>
      <c r="B53" s="128" t="s">
        <v>161</v>
      </c>
      <c r="C53" s="101"/>
      <c r="D53" s="45"/>
      <c r="E53" s="129">
        <f>SUM(E54:E55)</f>
        <v>62223806406</v>
      </c>
      <c r="F53" s="79"/>
      <c r="G53" s="79"/>
      <c r="H53" s="29">
        <v>1.33</v>
      </c>
      <c r="I53" s="129">
        <f>I54+I55</f>
        <v>142269578406</v>
      </c>
      <c r="J53" s="79"/>
      <c r="K53" s="29"/>
      <c r="L53" s="32">
        <v>1.34</v>
      </c>
    </row>
    <row r="54" spans="1:13" ht="21" customHeight="1">
      <c r="A54" s="104">
        <v>1</v>
      </c>
      <c r="B54" s="104" t="s">
        <v>113</v>
      </c>
      <c r="C54" s="104"/>
      <c r="D54" s="45"/>
      <c r="E54" s="47">
        <f>111676000000-72106000000</f>
        <v>39570000000</v>
      </c>
      <c r="F54" s="80"/>
      <c r="G54" s="80"/>
      <c r="H54" s="80">
        <f>E54/40601016000</f>
        <v>0.97460615271302575</v>
      </c>
      <c r="I54" s="47">
        <v>111676000000</v>
      </c>
      <c r="J54" s="80"/>
      <c r="K54" s="29"/>
      <c r="L54" s="80">
        <f>I54/92808016000</f>
        <v>1.2033012320832286</v>
      </c>
    </row>
    <row r="55" spans="1:13" ht="26.25" customHeight="1">
      <c r="A55" s="125">
        <v>2</v>
      </c>
      <c r="B55" s="125" t="s">
        <v>114</v>
      </c>
      <c r="C55" s="107">
        <v>165644000000</v>
      </c>
      <c r="D55" s="142">
        <v>0</v>
      </c>
      <c r="E55" s="125">
        <f>30593578406-7939772000</f>
        <v>22653806406</v>
      </c>
      <c r="F55" s="80"/>
      <c r="G55" s="108"/>
      <c r="H55" s="80">
        <f>E55/6173880363</f>
        <v>3.669297925137005</v>
      </c>
      <c r="I55" s="125">
        <v>30593578406</v>
      </c>
      <c r="J55" s="127"/>
      <c r="K55" s="29"/>
      <c r="L55" s="127">
        <f>I55/13434701983</f>
        <v>2.2772055863027325</v>
      </c>
      <c r="M55" s="81"/>
    </row>
    <row r="56" spans="1:13" ht="26.25" customHeight="1">
      <c r="A56" s="99" t="s">
        <v>10</v>
      </c>
      <c r="B56" s="99" t="s">
        <v>48</v>
      </c>
      <c r="C56" s="92"/>
      <c r="D56" s="92">
        <v>0</v>
      </c>
      <c r="E56" s="34">
        <f>9002013611-8248656203</f>
        <v>753357408</v>
      </c>
      <c r="F56" s="40"/>
      <c r="G56" s="40"/>
      <c r="H56" s="40"/>
      <c r="I56" s="34">
        <v>9002013611</v>
      </c>
      <c r="J56" s="40"/>
      <c r="K56" s="29"/>
      <c r="L56" s="130">
        <f>I56/88540428445</f>
        <v>0.10167122261659166</v>
      </c>
    </row>
    <row r="57" spans="1:13" ht="26.25" customHeight="1">
      <c r="A57" s="99" t="s">
        <v>23</v>
      </c>
      <c r="B57" s="99" t="s">
        <v>118</v>
      </c>
      <c r="C57" s="92"/>
      <c r="D57" s="200">
        <v>0</v>
      </c>
      <c r="E57" s="34"/>
      <c r="F57" s="40"/>
      <c r="G57" s="40"/>
      <c r="H57" s="40"/>
      <c r="I57" s="34"/>
      <c r="J57" s="34"/>
      <c r="K57" s="29"/>
      <c r="L57" s="130"/>
    </row>
    <row r="58" spans="1:13" ht="26.25" hidden="1" customHeight="1">
      <c r="A58" s="99" t="s">
        <v>117</v>
      </c>
      <c r="B58" s="99" t="s">
        <v>160</v>
      </c>
      <c r="C58" s="92"/>
      <c r="D58" s="34">
        <v>0</v>
      </c>
      <c r="E58" s="34"/>
      <c r="F58" s="40"/>
      <c r="G58" s="40"/>
      <c r="H58" s="40"/>
      <c r="I58" s="34"/>
      <c r="J58" s="34"/>
      <c r="K58" s="29"/>
      <c r="L58" s="130"/>
    </row>
    <row r="59" spans="1:13" ht="26.25" customHeight="1">
      <c r="D59" s="201"/>
      <c r="E59" s="175"/>
      <c r="G59" s="171"/>
      <c r="I59" s="175"/>
      <c r="J59" s="176"/>
    </row>
    <row r="60" spans="1:13" ht="26.25" customHeight="1">
      <c r="B60" s="202"/>
      <c r="G60" s="171"/>
      <c r="J60" s="170"/>
      <c r="K60" s="169"/>
      <c r="L60" s="170"/>
    </row>
    <row r="61" spans="1:13" ht="26.25" customHeight="1">
      <c r="G61" s="171"/>
      <c r="J61" s="170"/>
      <c r="K61" s="169"/>
      <c r="L61" s="170"/>
    </row>
    <row r="62" spans="1:13" ht="26.25" customHeight="1">
      <c r="G62" s="171"/>
      <c r="J62" s="170"/>
      <c r="K62" s="169"/>
      <c r="L62" s="170"/>
    </row>
    <row r="63" spans="1:13" ht="26.25" customHeight="1">
      <c r="C63" s="170"/>
      <c r="G63" s="171"/>
      <c r="J63" s="170"/>
      <c r="K63" s="169"/>
      <c r="L63" s="170"/>
    </row>
    <row r="64" spans="1:13" ht="26.25" customHeight="1">
      <c r="B64" s="203"/>
      <c r="C64" s="170"/>
      <c r="G64" s="171"/>
      <c r="J64" s="170"/>
      <c r="K64" s="169"/>
      <c r="L64" s="170"/>
    </row>
    <row r="65" spans="2:12" ht="26.25" customHeight="1">
      <c r="B65" s="203"/>
      <c r="C65" s="170"/>
      <c r="G65" s="171"/>
      <c r="J65" s="170"/>
      <c r="K65" s="169"/>
      <c r="L65" s="170"/>
    </row>
    <row r="66" spans="2:12" ht="26.25" customHeight="1">
      <c r="B66" s="203"/>
      <c r="C66" s="170"/>
      <c r="G66" s="171"/>
      <c r="J66" s="170"/>
      <c r="K66" s="169"/>
      <c r="L66" s="170"/>
    </row>
    <row r="67" spans="2:12" ht="26.25" customHeight="1">
      <c r="C67" s="170"/>
      <c r="G67" s="171"/>
      <c r="J67" s="170"/>
      <c r="K67" s="169"/>
      <c r="L67" s="170"/>
    </row>
    <row r="68" spans="2:12" ht="26.25" customHeight="1">
      <c r="C68" s="170"/>
      <c r="G68" s="171"/>
      <c r="J68" s="170"/>
      <c r="K68" s="169"/>
      <c r="L68" s="170"/>
    </row>
    <row r="69" spans="2:12" ht="26.25" customHeight="1">
      <c r="C69" s="170"/>
      <c r="G69" s="171"/>
    </row>
    <row r="70" spans="2:12">
      <c r="G70" s="180"/>
    </row>
  </sheetData>
  <mergeCells count="18">
    <mergeCell ref="A5:D5"/>
    <mergeCell ref="A1:B1"/>
    <mergeCell ref="A2:B2"/>
    <mergeCell ref="D1:K1"/>
    <mergeCell ref="D2:K2"/>
    <mergeCell ref="A4:K4"/>
    <mergeCell ref="L7:L8"/>
    <mergeCell ref="A7:A8"/>
    <mergeCell ref="B7:B8"/>
    <mergeCell ref="C7:C8"/>
    <mergeCell ref="K7:K8"/>
    <mergeCell ref="D7:D8"/>
    <mergeCell ref="E7:E8"/>
    <mergeCell ref="F7:F8"/>
    <mergeCell ref="G7:G8"/>
    <mergeCell ref="H7:H8"/>
    <mergeCell ref="I7:I8"/>
    <mergeCell ref="J7:J8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6A973F0-3A6F-4995-A4DB-ED698D7ACDB1}"/>
</file>

<file path=customXml/itemProps2.xml><?xml version="1.0" encoding="utf-8"?>
<ds:datastoreItem xmlns:ds="http://schemas.openxmlformats.org/officeDocument/2006/customXml" ds:itemID="{413647CB-64CF-4D7A-9354-F0BEBBFFC84A}"/>
</file>

<file path=customXml/itemProps3.xml><?xml version="1.0" encoding="utf-8"?>
<ds:datastoreItem xmlns:ds="http://schemas.openxmlformats.org/officeDocument/2006/customXml" ds:itemID="{C5BB904B-D41F-457E-B49D-79AF2C7D536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MAU 93-ck (2)</vt:lpstr>
      <vt:lpstr>MAU 94-ck (4)</vt:lpstr>
      <vt:lpstr>MAU 95-CK </vt:lpstr>
      <vt:lpstr>'MAU 93-ck (2)'!Print_Titles</vt:lpstr>
      <vt:lpstr>'MAU 94-ck (4)'!Print_Titles</vt:lpstr>
      <vt:lpstr>'MAU 95-CK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PHONG VU BH</dc:creator>
  <cp:lastModifiedBy>hello</cp:lastModifiedBy>
  <cp:lastPrinted>2025-01-13T07:24:56Z</cp:lastPrinted>
  <dcterms:created xsi:type="dcterms:W3CDTF">2017-07-22T05:53:59Z</dcterms:created>
  <dcterms:modified xsi:type="dcterms:W3CDTF">2025-01-13T07:24:57Z</dcterms:modified>
</cp:coreProperties>
</file>